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davidlariviere/Documents/AFFAIRES/CREATYF/HUPPAYE/TRAVAUX/ETATS AVANCEMENT/"/>
    </mc:Choice>
  </mc:AlternateContent>
  <xr:revisionPtr revIDLastSave="0" documentId="13_ncr:1_{F8B17DE4-0A2D-CA4D-8E28-441C406AA4C0}" xr6:coauthVersionLast="47" xr6:coauthVersionMax="47" xr10:uidLastSave="{00000000-0000-0000-0000-000000000000}"/>
  <bookViews>
    <workbookView xWindow="0" yWindow="2280" windowWidth="51200" windowHeight="22780" xr2:uid="{00000000-000D-0000-FFFF-FFFF00000000}"/>
  </bookViews>
  <sheets>
    <sheet name=" - état 30 - Février  06  " sheetId="1" r:id="rId1"/>
    <sheet name="SvE" sheetId="6" r:id="rId2"/>
    <sheet name="Stab" sheetId="3" r:id="rId3"/>
    <sheet name="Toit grange" sheetId="4" r:id="rId4"/>
    <sheet name="Frankie" sheetId="7" r:id="rId5"/>
    <sheet name="Avenant 1" sheetId="8" r:id="rId6"/>
    <sheet name="Avenant 2" sheetId="10" r:id="rId7"/>
    <sheet name="Avenant 3" sheetId="11" r:id="rId8"/>
    <sheet name="Avenant 4" sheetId="13" r:id="rId9"/>
    <sheet name="Avenant 5" sheetId="12" r:id="rId10"/>
    <sheet name="Avenant 6" sheetId="16" r:id="rId11"/>
  </sheets>
  <externalReferences>
    <externalReference r:id="rId12"/>
    <externalReference r:id="rId13"/>
  </externalReferences>
  <definedNames>
    <definedName name="_xlnm.Print_Titles" localSheetId="0">' - état 30 - Février  06  '!$B:$I,' - état 30 - Février  06  '!$1:$1</definedName>
    <definedName name="typmet">[1]métré!$M$6</definedName>
    <definedName name="_xlnm.Print_Area" localSheetId="0">' - état 30 - Février  06  '!$A$1:$M$307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6" i="16" l="1"/>
  <c r="S66" i="16"/>
  <c r="T66" i="16" s="1"/>
  <c r="J66" i="16"/>
  <c r="S81" i="16" l="1"/>
  <c r="T81" i="16" s="1"/>
  <c r="K2" i="16"/>
  <c r="K42" i="16"/>
  <c r="K77" i="16"/>
  <c r="K83" i="16"/>
  <c r="K139" i="16"/>
  <c r="J166" i="16"/>
  <c r="V45" i="16"/>
  <c r="V52" i="16"/>
  <c r="V141" i="16"/>
  <c r="V155" i="16"/>
  <c r="S147" i="16"/>
  <c r="T147" i="16" s="1"/>
  <c r="S146" i="16"/>
  <c r="T146" i="16" s="1"/>
  <c r="S145" i="16"/>
  <c r="T145" i="16" s="1"/>
  <c r="S143" i="16"/>
  <c r="T143" i="16" s="1"/>
  <c r="J147" i="16"/>
  <c r="H147" i="16"/>
  <c r="J146" i="16"/>
  <c r="H145" i="16"/>
  <c r="J145" i="16" s="1"/>
  <c r="J143" i="16"/>
  <c r="A144" i="16"/>
  <c r="J141" i="16"/>
  <c r="I67" i="16"/>
  <c r="H45" i="16"/>
  <c r="L51" i="4" l="1"/>
  <c r="U45" i="4"/>
  <c r="V45" i="4" s="1"/>
  <c r="L45" i="4"/>
  <c r="J45" i="4"/>
  <c r="S157" i="16"/>
  <c r="J157" i="16"/>
  <c r="S155" i="16"/>
  <c r="J155" i="16"/>
  <c r="S153" i="16"/>
  <c r="T153" i="16" s="1"/>
  <c r="J153" i="16"/>
  <c r="S151" i="16"/>
  <c r="H151" i="16"/>
  <c r="J151" i="16" s="1"/>
  <c r="S149" i="16"/>
  <c r="H149" i="16"/>
  <c r="J149" i="16" s="1"/>
  <c r="S144" i="16"/>
  <c r="E144" i="16"/>
  <c r="H144" i="16" s="1"/>
  <c r="J144" i="16" s="1"/>
  <c r="S141" i="16"/>
  <c r="T141" i="16" s="1"/>
  <c r="K134" i="16"/>
  <c r="K122" i="16"/>
  <c r="S94" i="16"/>
  <c r="T94" i="16" s="1"/>
  <c r="J94" i="16"/>
  <c r="S91" i="16"/>
  <c r="J91" i="16"/>
  <c r="S90" i="16"/>
  <c r="T90" i="16" s="1"/>
  <c r="J90" i="16"/>
  <c r="S89" i="16"/>
  <c r="J89" i="16"/>
  <c r="S88" i="16"/>
  <c r="J88" i="16"/>
  <c r="S85" i="16"/>
  <c r="H85" i="16"/>
  <c r="J85" i="16" s="1"/>
  <c r="H81" i="16"/>
  <c r="J81" i="16" s="1"/>
  <c r="S79" i="16"/>
  <c r="H79" i="16"/>
  <c r="J79" i="16" s="1"/>
  <c r="S69" i="16"/>
  <c r="T69" i="16" s="1"/>
  <c r="J69" i="16"/>
  <c r="S67" i="16"/>
  <c r="H66" i="16"/>
  <c r="S65" i="16"/>
  <c r="H65" i="16"/>
  <c r="J65" i="16" s="1"/>
  <c r="T65" i="16" s="1"/>
  <c r="S62" i="16"/>
  <c r="T62" i="16" s="1"/>
  <c r="J62" i="16"/>
  <c r="H61" i="16"/>
  <c r="H59" i="16"/>
  <c r="H58" i="16"/>
  <c r="S55" i="16"/>
  <c r="F55" i="16"/>
  <c r="H55" i="16" s="1"/>
  <c r="J55" i="16" s="1"/>
  <c r="S54" i="16"/>
  <c r="S53" i="16"/>
  <c r="H53" i="16"/>
  <c r="J53" i="16" s="1"/>
  <c r="S52" i="16"/>
  <c r="H52" i="16"/>
  <c r="D54" i="16" s="1"/>
  <c r="H54" i="16" s="1"/>
  <c r="J54" i="16" s="1"/>
  <c r="T54" i="16" s="1"/>
  <c r="H50" i="16"/>
  <c r="G49" i="16"/>
  <c r="H49" i="16" s="1"/>
  <c r="S48" i="16"/>
  <c r="S45" i="16"/>
  <c r="J45" i="16"/>
  <c r="S40" i="16"/>
  <c r="H40" i="16"/>
  <c r="J40" i="16" s="1"/>
  <c r="S39" i="16"/>
  <c r="J39" i="16"/>
  <c r="S38" i="16"/>
  <c r="H38" i="16"/>
  <c r="J38" i="16" s="1"/>
  <c r="S37" i="16"/>
  <c r="H37" i="16"/>
  <c r="J37" i="16" s="1"/>
  <c r="S36" i="16"/>
  <c r="J36" i="16"/>
  <c r="S33" i="16"/>
  <c r="J33" i="16"/>
  <c r="S28" i="16"/>
  <c r="J28" i="16"/>
  <c r="S25" i="16"/>
  <c r="T25" i="16" s="1"/>
  <c r="J25" i="16"/>
  <c r="S23" i="16"/>
  <c r="J23" i="16"/>
  <c r="S22" i="16"/>
  <c r="H22" i="16"/>
  <c r="J22" i="16" s="1"/>
  <c r="S21" i="16"/>
  <c r="J21" i="16"/>
  <c r="H21" i="16"/>
  <c r="S20" i="16"/>
  <c r="H20" i="16"/>
  <c r="J20" i="16" s="1"/>
  <c r="S19" i="16"/>
  <c r="H19" i="16"/>
  <c r="J19" i="16" s="1"/>
  <c r="S17" i="16"/>
  <c r="H17" i="16"/>
  <c r="J17" i="16" s="1"/>
  <c r="S16" i="16"/>
  <c r="J16" i="16"/>
  <c r="H16" i="16"/>
  <c r="S15" i="16"/>
  <c r="H15" i="16"/>
  <c r="J15" i="16" s="1"/>
  <c r="S14" i="16"/>
  <c r="H14" i="16"/>
  <c r="J14" i="16" s="1"/>
  <c r="S12" i="16"/>
  <c r="H12" i="16"/>
  <c r="J12" i="16" s="1"/>
  <c r="S11" i="16"/>
  <c r="J11" i="16"/>
  <c r="H11" i="16"/>
  <c r="S10" i="16"/>
  <c r="H10" i="16"/>
  <c r="J10" i="16" s="1"/>
  <c r="S9" i="16"/>
  <c r="H9" i="16"/>
  <c r="J9" i="16" s="1"/>
  <c r="S8" i="16"/>
  <c r="H8" i="16"/>
  <c r="J8" i="16" s="1"/>
  <c r="T45" i="16" l="1"/>
  <c r="T157" i="16"/>
  <c r="T8" i="16"/>
  <c r="T12" i="16"/>
  <c r="T17" i="16"/>
  <c r="T22" i="16"/>
  <c r="T11" i="16"/>
  <c r="T16" i="16"/>
  <c r="T21" i="16"/>
  <c r="T33" i="16"/>
  <c r="T39" i="16"/>
  <c r="T89" i="16"/>
  <c r="T10" i="16"/>
  <c r="T15" i="16"/>
  <c r="T20" i="16"/>
  <c r="T23" i="16"/>
  <c r="T91" i="16"/>
  <c r="T144" i="16"/>
  <c r="T151" i="16"/>
  <c r="T155" i="16"/>
  <c r="T9" i="16"/>
  <c r="T14" i="16"/>
  <c r="T19" i="16"/>
  <c r="T28" i="16"/>
  <c r="T38" i="16"/>
  <c r="J48" i="16"/>
  <c r="T48" i="16" s="1"/>
  <c r="H48" i="16"/>
  <c r="T88" i="16"/>
  <c r="T40" i="16"/>
  <c r="T36" i="16"/>
  <c r="T85" i="16"/>
  <c r="T37" i="16"/>
  <c r="T55" i="16"/>
  <c r="T149" i="16"/>
  <c r="T79" i="16"/>
  <c r="T53" i="16"/>
  <c r="J52" i="16"/>
  <c r="H67" i="16"/>
  <c r="J67" i="16" s="1"/>
  <c r="T67" i="16" s="1"/>
  <c r="J168" i="16" l="1"/>
  <c r="T52" i="16"/>
  <c r="T166" i="16" l="1"/>
  <c r="W293" i="1" s="1"/>
  <c r="L293" i="1"/>
  <c r="S14" i="13"/>
  <c r="T14" i="13" s="1"/>
  <c r="S18" i="13"/>
  <c r="T18" i="13" s="1"/>
  <c r="J298" i="1" l="1"/>
  <c r="L296" i="1"/>
  <c r="S10" i="13"/>
  <c r="T10" i="13" s="1"/>
  <c r="L289" i="1"/>
  <c r="L9" i="8"/>
  <c r="V9" i="8"/>
  <c r="W9" i="8" s="1"/>
  <c r="H31" i="13"/>
  <c r="K29" i="13"/>
  <c r="S27" i="13"/>
  <c r="H27" i="13"/>
  <c r="J27" i="13" s="1"/>
  <c r="S24" i="13"/>
  <c r="I24" i="13"/>
  <c r="J24" i="13" s="1"/>
  <c r="H24" i="13"/>
  <c r="S19" i="13"/>
  <c r="I19" i="13"/>
  <c r="G19" i="13"/>
  <c r="H19" i="13" s="1"/>
  <c r="I18" i="13"/>
  <c r="J18" i="13" s="1"/>
  <c r="H18" i="13"/>
  <c r="S17" i="13"/>
  <c r="J17" i="13"/>
  <c r="I17" i="13"/>
  <c r="H17" i="13"/>
  <c r="S15" i="13"/>
  <c r="I15" i="13"/>
  <c r="G15" i="13"/>
  <c r="H15" i="13" s="1"/>
  <c r="I14" i="13"/>
  <c r="J14" i="13" s="1"/>
  <c r="H14" i="13"/>
  <c r="S13" i="13"/>
  <c r="I13" i="13"/>
  <c r="H13" i="13"/>
  <c r="J13" i="13" s="1"/>
  <c r="S11" i="13"/>
  <c r="I11" i="13"/>
  <c r="J11" i="13" s="1"/>
  <c r="H11" i="13"/>
  <c r="I10" i="13"/>
  <c r="H10" i="13"/>
  <c r="J10" i="13" s="1"/>
  <c r="S9" i="13"/>
  <c r="I9" i="13"/>
  <c r="J9" i="13" s="1"/>
  <c r="H9" i="13"/>
  <c r="S5" i="13"/>
  <c r="J5" i="13"/>
  <c r="I5" i="13"/>
  <c r="H5" i="13"/>
  <c r="B4" i="13"/>
  <c r="A4" i="13"/>
  <c r="T17" i="13" l="1"/>
  <c r="T13" i="13"/>
  <c r="T5" i="13"/>
  <c r="T27" i="13"/>
  <c r="T9" i="13"/>
  <c r="J15" i="13"/>
  <c r="T15" i="13" s="1"/>
  <c r="K22" i="13"/>
  <c r="T11" i="13"/>
  <c r="J19" i="13"/>
  <c r="T19" i="13" s="1"/>
  <c r="T24" i="13"/>
  <c r="K2" i="13"/>
  <c r="T36" i="13" l="1"/>
  <c r="W289" i="1" s="1"/>
  <c r="J36" i="13"/>
  <c r="J38" i="13" s="1"/>
  <c r="S43" i="12" l="1"/>
  <c r="T43" i="12" s="1"/>
  <c r="S42" i="12"/>
  <c r="H42" i="12"/>
  <c r="T42" i="12" s="1"/>
  <c r="S41" i="12"/>
  <c r="T41" i="12" s="1"/>
  <c r="S40" i="12"/>
  <c r="T40" i="12" s="1"/>
  <c r="H40" i="12"/>
  <c r="S39" i="12"/>
  <c r="H39" i="12"/>
  <c r="S36" i="12"/>
  <c r="T36" i="12" s="1"/>
  <c r="F36" i="12"/>
  <c r="H36" i="12" s="1"/>
  <c r="S35" i="12"/>
  <c r="S34" i="12"/>
  <c r="H34" i="12"/>
  <c r="S33" i="12"/>
  <c r="T33" i="12" s="1"/>
  <c r="H33" i="12"/>
  <c r="S31" i="12"/>
  <c r="T31" i="12" s="1"/>
  <c r="H31" i="12"/>
  <c r="H29" i="12" s="1"/>
  <c r="S30" i="12"/>
  <c r="T30" i="12" s="1"/>
  <c r="H30" i="12"/>
  <c r="S29" i="12"/>
  <c r="S26" i="12"/>
  <c r="T26" i="12" s="1"/>
  <c r="D26" i="12"/>
  <c r="H26" i="12" s="1"/>
  <c r="S25" i="12"/>
  <c r="F25" i="12"/>
  <c r="H25" i="12" s="1"/>
  <c r="T25" i="12" s="1"/>
  <c r="D25" i="12"/>
  <c r="H24" i="12"/>
  <c r="E23" i="12"/>
  <c r="H23" i="12" s="1"/>
  <c r="H21" i="12" s="1"/>
  <c r="H22" i="12"/>
  <c r="S21" i="12"/>
  <c r="T21" i="12" s="1"/>
  <c r="H20" i="12"/>
  <c r="E19" i="12"/>
  <c r="H19" i="12" s="1"/>
  <c r="H17" i="12" s="1"/>
  <c r="H18" i="12"/>
  <c r="S17" i="12"/>
  <c r="H16" i="12"/>
  <c r="H15" i="12"/>
  <c r="S14" i="12"/>
  <c r="H14" i="12"/>
  <c r="S9" i="12"/>
  <c r="H9" i="12"/>
  <c r="S8" i="12"/>
  <c r="T8" i="12" s="1"/>
  <c r="H8" i="12"/>
  <c r="S7" i="12"/>
  <c r="H7" i="12"/>
  <c r="S6" i="12"/>
  <c r="T6" i="12" s="1"/>
  <c r="H6" i="12"/>
  <c r="S5" i="12"/>
  <c r="H5" i="12"/>
  <c r="K2" i="12" l="1"/>
  <c r="T34" i="12"/>
  <c r="T29" i="12"/>
  <c r="T5" i="12"/>
  <c r="T7" i="12"/>
  <c r="T9" i="12"/>
  <c r="T39" i="12"/>
  <c r="T14" i="12"/>
  <c r="T17" i="12"/>
  <c r="D35" i="12"/>
  <c r="H35" i="12" s="1"/>
  <c r="T35" i="12" s="1"/>
  <c r="T64" i="12" l="1"/>
  <c r="K11" i="12"/>
  <c r="W291" i="1"/>
  <c r="J64" i="12"/>
  <c r="V42" i="1"/>
  <c r="H44" i="11"/>
  <c r="J44" i="11" s="1"/>
  <c r="H43" i="11"/>
  <c r="J43" i="11" s="1"/>
  <c r="S24" i="11"/>
  <c r="I24" i="11"/>
  <c r="G24" i="11"/>
  <c r="H24" i="11" s="1"/>
  <c r="S25" i="11"/>
  <c r="S23" i="11"/>
  <c r="J99" i="11"/>
  <c r="S127" i="11"/>
  <c r="H127" i="11"/>
  <c r="J127" i="11" s="1"/>
  <c r="S126" i="11"/>
  <c r="J126" i="11"/>
  <c r="S125" i="11"/>
  <c r="H125" i="11"/>
  <c r="J125" i="11" s="1"/>
  <c r="S44" i="11"/>
  <c r="S43" i="11"/>
  <c r="H122" i="11"/>
  <c r="S122" i="11"/>
  <c r="S119" i="11"/>
  <c r="S118" i="11"/>
  <c r="H119" i="11"/>
  <c r="H118" i="11"/>
  <c r="I117" i="11"/>
  <c r="S117" i="11"/>
  <c r="G117" i="11"/>
  <c r="H117" i="11" s="1"/>
  <c r="S113" i="11"/>
  <c r="J112" i="11"/>
  <c r="S112" i="11"/>
  <c r="S109" i="11"/>
  <c r="S108" i="11"/>
  <c r="G109" i="11"/>
  <c r="H109" i="11" s="1"/>
  <c r="I108" i="11"/>
  <c r="I109" i="11" s="1"/>
  <c r="H108" i="11"/>
  <c r="S105" i="11"/>
  <c r="S104" i="11"/>
  <c r="S103" i="11"/>
  <c r="H105" i="11"/>
  <c r="D104" i="11"/>
  <c r="H104" i="11" s="1"/>
  <c r="D103" i="11"/>
  <c r="H103" i="11" s="1"/>
  <c r="S99" i="11"/>
  <c r="S98" i="11"/>
  <c r="S97" i="11"/>
  <c r="D98" i="11"/>
  <c r="H98" i="11" s="1"/>
  <c r="J97" i="11"/>
  <c r="S96" i="11"/>
  <c r="D83" i="11"/>
  <c r="H83" i="11" s="1"/>
  <c r="D80" i="11"/>
  <c r="H80" i="11" s="1"/>
  <c r="D79" i="11"/>
  <c r="H79" i="11" s="1"/>
  <c r="H87" i="11"/>
  <c r="D93" i="11"/>
  <c r="D91" i="11"/>
  <c r="H91" i="11" s="1"/>
  <c r="D88" i="11"/>
  <c r="H88" i="11" s="1"/>
  <c r="D86" i="11"/>
  <c r="H86" i="11" s="1"/>
  <c r="D85" i="11"/>
  <c r="H85" i="11" s="1"/>
  <c r="D90" i="11"/>
  <c r="H90" i="11" s="1"/>
  <c r="I96" i="11"/>
  <c r="V8" i="8"/>
  <c r="L8" i="8"/>
  <c r="S39" i="11"/>
  <c r="J39" i="11"/>
  <c r="I105" i="11"/>
  <c r="I104" i="11"/>
  <c r="I103" i="11"/>
  <c r="I33" i="11"/>
  <c r="H33" i="11"/>
  <c r="I30" i="11"/>
  <c r="H30" i="11"/>
  <c r="S36" i="11"/>
  <c r="S40" i="11"/>
  <c r="I36" i="11"/>
  <c r="J36" i="11" s="1"/>
  <c r="I40" i="11"/>
  <c r="G40" i="11"/>
  <c r="H40" i="11" s="1"/>
  <c r="I25" i="11"/>
  <c r="H25" i="11"/>
  <c r="I23" i="11"/>
  <c r="G23" i="11"/>
  <c r="H23" i="11" s="1"/>
  <c r="S94" i="11"/>
  <c r="S95" i="11"/>
  <c r="S93" i="11"/>
  <c r="S92" i="11"/>
  <c r="S91" i="11"/>
  <c r="S90" i="11"/>
  <c r="S88" i="11"/>
  <c r="S87" i="11"/>
  <c r="S86" i="11"/>
  <c r="S85" i="11"/>
  <c r="S83" i="11"/>
  <c r="S82" i="11"/>
  <c r="S81" i="11"/>
  <c r="S80" i="11"/>
  <c r="S79" i="11"/>
  <c r="S77" i="11"/>
  <c r="S76" i="11"/>
  <c r="S75" i="11"/>
  <c r="S74" i="11"/>
  <c r="S73" i="11"/>
  <c r="S71" i="11"/>
  <c r="S70" i="11"/>
  <c r="S69" i="11"/>
  <c r="S62" i="11"/>
  <c r="S61" i="11"/>
  <c r="S60" i="11"/>
  <c r="S59" i="11"/>
  <c r="S56" i="11"/>
  <c r="S55" i="11"/>
  <c r="S54" i="11"/>
  <c r="S53" i="11"/>
  <c r="S52" i="11"/>
  <c r="S51" i="11"/>
  <c r="S50" i="11"/>
  <c r="S49" i="11"/>
  <c r="H60" i="11"/>
  <c r="H61" i="11"/>
  <c r="H62" i="11"/>
  <c r="H59" i="11"/>
  <c r="H50" i="11"/>
  <c r="H51" i="11"/>
  <c r="H52" i="11"/>
  <c r="H53" i="11"/>
  <c r="H54" i="11"/>
  <c r="H55" i="11"/>
  <c r="H56" i="11"/>
  <c r="H49" i="11"/>
  <c r="I94" i="11"/>
  <c r="I77" i="11"/>
  <c r="I76" i="11"/>
  <c r="I75" i="11"/>
  <c r="I74" i="11"/>
  <c r="I73" i="11"/>
  <c r="H77" i="11"/>
  <c r="H76" i="11"/>
  <c r="H75" i="11"/>
  <c r="H74" i="11"/>
  <c r="H73" i="11"/>
  <c r="H71" i="11"/>
  <c r="H69" i="11"/>
  <c r="G70" i="11"/>
  <c r="H70" i="11" s="1"/>
  <c r="I71" i="11"/>
  <c r="I70" i="11"/>
  <c r="I69" i="11"/>
  <c r="I68" i="11"/>
  <c r="H68" i="11"/>
  <c r="S20" i="11"/>
  <c r="E20" i="11"/>
  <c r="H20" i="11" s="1"/>
  <c r="S19" i="11"/>
  <c r="S18" i="11"/>
  <c r="S17" i="11"/>
  <c r="S15" i="11"/>
  <c r="I84" i="3"/>
  <c r="J84" i="3" s="1"/>
  <c r="U84" i="3"/>
  <c r="I81" i="3"/>
  <c r="J81" i="3" s="1"/>
  <c r="U81" i="3"/>
  <c r="I78" i="3"/>
  <c r="J78" i="3" s="1"/>
  <c r="U78" i="3"/>
  <c r="I75" i="3"/>
  <c r="J75" i="3" s="1"/>
  <c r="U75" i="3"/>
  <c r="J95" i="11"/>
  <c r="D92" i="11"/>
  <c r="H92" i="11" s="1"/>
  <c r="I93" i="11"/>
  <c r="I92" i="11"/>
  <c r="I91" i="11"/>
  <c r="I90" i="11"/>
  <c r="I88" i="11"/>
  <c r="I87" i="11"/>
  <c r="I86" i="11"/>
  <c r="I85" i="11"/>
  <c r="I53" i="3"/>
  <c r="K45" i="3"/>
  <c r="U45" i="3"/>
  <c r="I45" i="3"/>
  <c r="J45" i="3" s="1"/>
  <c r="I83" i="11"/>
  <c r="S12" i="11"/>
  <c r="I12" i="11"/>
  <c r="I11" i="11"/>
  <c r="I10" i="11"/>
  <c r="I9" i="11"/>
  <c r="I8" i="11"/>
  <c r="E9" i="11"/>
  <c r="H9" i="11" s="1"/>
  <c r="S11" i="11"/>
  <c r="S10" i="11"/>
  <c r="S8" i="11"/>
  <c r="I5" i="11"/>
  <c r="H5" i="11"/>
  <c r="D82" i="11"/>
  <c r="H82" i="11" s="1"/>
  <c r="I82" i="11"/>
  <c r="D81" i="11"/>
  <c r="H81" i="11" s="1"/>
  <c r="I81" i="11"/>
  <c r="I80" i="11"/>
  <c r="I79" i="11"/>
  <c r="U23" i="3"/>
  <c r="S5" i="11"/>
  <c r="S20" i="10"/>
  <c r="S19" i="10"/>
  <c r="S15" i="10"/>
  <c r="T15" i="10" s="1"/>
  <c r="S13" i="10"/>
  <c r="T13" i="10" s="1"/>
  <c r="S11" i="10"/>
  <c r="T11" i="10" s="1"/>
  <c r="S7" i="10"/>
  <c r="T7" i="10" s="1"/>
  <c r="S6" i="10"/>
  <c r="T6" i="10" s="1"/>
  <c r="I26" i="10"/>
  <c r="H26" i="10"/>
  <c r="H25" i="10"/>
  <c r="H21" i="10"/>
  <c r="H20" i="10"/>
  <c r="J20" i="10" s="1"/>
  <c r="T20" i="10" s="1"/>
  <c r="H19" i="10"/>
  <c r="J19" i="10" s="1"/>
  <c r="H15" i="10"/>
  <c r="J15" i="10" s="1"/>
  <c r="H13" i="10"/>
  <c r="J13" i="10" s="1"/>
  <c r="H11" i="10"/>
  <c r="J11" i="10" s="1"/>
  <c r="H7" i="10"/>
  <c r="J7" i="10" s="1"/>
  <c r="H6" i="10"/>
  <c r="J6" i="10" s="1"/>
  <c r="J66" i="12" l="1"/>
  <c r="L291" i="1"/>
  <c r="K132" i="11"/>
  <c r="J25" i="11"/>
  <c r="T25" i="11" s="1"/>
  <c r="J23" i="11"/>
  <c r="T23" i="11" s="1"/>
  <c r="J24" i="11"/>
  <c r="T24" i="11" s="1"/>
  <c r="T19" i="10"/>
  <c r="T127" i="11"/>
  <c r="T125" i="11"/>
  <c r="T126" i="11"/>
  <c r="T43" i="11"/>
  <c r="T44" i="11"/>
  <c r="J109" i="11"/>
  <c r="T109" i="11" s="1"/>
  <c r="J118" i="11"/>
  <c r="T118" i="11" s="1"/>
  <c r="J113" i="11"/>
  <c r="T113" i="11" s="1"/>
  <c r="J122" i="11"/>
  <c r="T122" i="11" s="1"/>
  <c r="J119" i="11"/>
  <c r="T119" i="11" s="1"/>
  <c r="J117" i="11"/>
  <c r="T117" i="11" s="1"/>
  <c r="T112" i="11"/>
  <c r="J108" i="11"/>
  <c r="T108" i="11" s="1"/>
  <c r="D96" i="11"/>
  <c r="H96" i="11" s="1"/>
  <c r="J96" i="11" s="1"/>
  <c r="T96" i="11" s="1"/>
  <c r="H93" i="11"/>
  <c r="J93" i="11" s="1"/>
  <c r="T93" i="11" s="1"/>
  <c r="T97" i="11"/>
  <c r="J98" i="11"/>
  <c r="T98" i="11" s="1"/>
  <c r="T99" i="11"/>
  <c r="T39" i="11"/>
  <c r="W8" i="8"/>
  <c r="J103" i="11"/>
  <c r="T103" i="11" s="1"/>
  <c r="J105" i="11"/>
  <c r="T105" i="11" s="1"/>
  <c r="J104" i="11"/>
  <c r="T104" i="11" s="1"/>
  <c r="J83" i="11"/>
  <c r="T83" i="11" s="1"/>
  <c r="T36" i="11"/>
  <c r="T95" i="11"/>
  <c r="J40" i="11"/>
  <c r="T40" i="11" s="1"/>
  <c r="J74" i="11"/>
  <c r="T74" i="11" s="1"/>
  <c r="J75" i="11"/>
  <c r="T75" i="11" s="1"/>
  <c r="J76" i="11"/>
  <c r="T76" i="11" s="1"/>
  <c r="J73" i="11"/>
  <c r="T73" i="11" s="1"/>
  <c r="J77" i="11"/>
  <c r="T77" i="11" s="1"/>
  <c r="J71" i="11"/>
  <c r="T71" i="11" s="1"/>
  <c r="J68" i="11"/>
  <c r="J70" i="11"/>
  <c r="T70" i="11" s="1"/>
  <c r="J69" i="11"/>
  <c r="T69" i="11" s="1"/>
  <c r="J88" i="11"/>
  <c r="T88" i="11" s="1"/>
  <c r="J87" i="11"/>
  <c r="T87" i="11" s="1"/>
  <c r="J91" i="11"/>
  <c r="T91" i="11" s="1"/>
  <c r="J90" i="11"/>
  <c r="T90" i="11" s="1"/>
  <c r="J92" i="11"/>
  <c r="T92" i="11" s="1"/>
  <c r="J79" i="11"/>
  <c r="T79" i="11" s="1"/>
  <c r="J85" i="11"/>
  <c r="T85" i="11" s="1"/>
  <c r="J86" i="11"/>
  <c r="T86" i="11" s="1"/>
  <c r="J80" i="11"/>
  <c r="T80" i="11" s="1"/>
  <c r="J82" i="11"/>
  <c r="T82" i="11" s="1"/>
  <c r="J81" i="11"/>
  <c r="T81" i="11" s="1"/>
  <c r="L45" i="3"/>
  <c r="V45" i="3" s="1"/>
  <c r="J9" i="11"/>
  <c r="J5" i="11"/>
  <c r="J28" i="10"/>
  <c r="K2" i="10"/>
  <c r="T28" i="10" l="1"/>
  <c r="W285" i="1" s="1"/>
  <c r="J30" i="10"/>
  <c r="L285" i="1"/>
  <c r="T5" i="11"/>
  <c r="K27" i="11"/>
  <c r="I203" i="1"/>
  <c r="V26" i="1"/>
  <c r="L26" i="1"/>
  <c r="J82" i="1"/>
  <c r="I28" i="3"/>
  <c r="I27" i="3"/>
  <c r="L7" i="8"/>
  <c r="L6" i="8"/>
  <c r="V7" i="8"/>
  <c r="V6" i="8"/>
  <c r="V15" i="8"/>
  <c r="L15" i="8"/>
  <c r="V13" i="8"/>
  <c r="L13" i="8"/>
  <c r="V12" i="8"/>
  <c r="L12" i="8"/>
  <c r="U172" i="3"/>
  <c r="J172" i="3"/>
  <c r="L172" i="3" s="1"/>
  <c r="I32" i="3"/>
  <c r="J32" i="3" s="1"/>
  <c r="L32" i="3" s="1"/>
  <c r="I31" i="3"/>
  <c r="J31" i="3" s="1"/>
  <c r="L31" i="3" s="1"/>
  <c r="U32" i="3"/>
  <c r="U31" i="3"/>
  <c r="U30" i="3"/>
  <c r="G30" i="3"/>
  <c r="I30" i="3" s="1"/>
  <c r="I25" i="3"/>
  <c r="J25" i="3" s="1"/>
  <c r="L25" i="3" s="1"/>
  <c r="I24" i="3"/>
  <c r="J24" i="3" s="1"/>
  <c r="L24" i="3" s="1"/>
  <c r="U25" i="3"/>
  <c r="U24" i="3"/>
  <c r="U22" i="3"/>
  <c r="I17" i="3"/>
  <c r="J17" i="3" s="1"/>
  <c r="L17" i="3" s="1"/>
  <c r="I16" i="3"/>
  <c r="J16" i="3" s="1"/>
  <c r="L16" i="3" s="1"/>
  <c r="U17" i="3"/>
  <c r="U16" i="3"/>
  <c r="G15" i="3"/>
  <c r="G8" i="3"/>
  <c r="I8" i="3" s="1"/>
  <c r="J8" i="3" s="1"/>
  <c r="L8" i="3" s="1"/>
  <c r="U10" i="3"/>
  <c r="U9" i="3"/>
  <c r="U8" i="3"/>
  <c r="I10" i="3"/>
  <c r="J10" i="3" s="1"/>
  <c r="L10" i="3" s="1"/>
  <c r="I9" i="3"/>
  <c r="J9" i="3" s="1"/>
  <c r="L9" i="3" s="1"/>
  <c r="V172" i="1"/>
  <c r="I172" i="1"/>
  <c r="J172" i="1" s="1"/>
  <c r="L172" i="1" s="1"/>
  <c r="V173" i="1"/>
  <c r="I173" i="1"/>
  <c r="J173" i="1" s="1"/>
  <c r="L173" i="1" s="1"/>
  <c r="V171" i="1"/>
  <c r="I171" i="1"/>
  <c r="J171" i="1" s="1"/>
  <c r="L171" i="1" s="1"/>
  <c r="V136" i="1"/>
  <c r="V135" i="1"/>
  <c r="V134" i="1"/>
  <c r="I136" i="1"/>
  <c r="J136" i="1" s="1"/>
  <c r="I135" i="1"/>
  <c r="J135" i="1" s="1"/>
  <c r="I134" i="1"/>
  <c r="J134" i="1" s="1"/>
  <c r="W15" i="8" l="1"/>
  <c r="L17" i="8"/>
  <c r="L283" i="1" s="1"/>
  <c r="W6" i="8"/>
  <c r="W7" i="8"/>
  <c r="V31" i="3"/>
  <c r="V32" i="3"/>
  <c r="W26" i="1"/>
  <c r="W13" i="8"/>
  <c r="W12" i="8"/>
  <c r="V172" i="3"/>
  <c r="J30" i="3"/>
  <c r="L30" i="3" s="1"/>
  <c r="V30" i="3" s="1"/>
  <c r="V24" i="3"/>
  <c r="V25" i="3"/>
  <c r="V16" i="3"/>
  <c r="V17" i="3"/>
  <c r="V9" i="3"/>
  <c r="V10" i="3"/>
  <c r="V8" i="3"/>
  <c r="W172" i="1"/>
  <c r="W173" i="1"/>
  <c r="W171" i="1"/>
  <c r="W17" i="8" l="1"/>
  <c r="W283" i="1" s="1"/>
  <c r="V115" i="1"/>
  <c r="V279" i="1"/>
  <c r="W279" i="1" s="1"/>
  <c r="U49" i="4"/>
  <c r="V49" i="4" s="1"/>
  <c r="U48" i="4"/>
  <c r="V48" i="4" s="1"/>
  <c r="U47" i="4"/>
  <c r="V47" i="4" s="1"/>
  <c r="U44" i="4"/>
  <c r="V44" i="4" s="1"/>
  <c r="U43" i="4"/>
  <c r="V43" i="4" s="1"/>
  <c r="U41" i="4"/>
  <c r="U40" i="4"/>
  <c r="U39" i="4"/>
  <c r="U38" i="4"/>
  <c r="U37" i="4"/>
  <c r="U36" i="4"/>
  <c r="U35" i="4"/>
  <c r="U33" i="4"/>
  <c r="U32" i="4"/>
  <c r="U31" i="4"/>
  <c r="U30" i="4"/>
  <c r="U29" i="4"/>
  <c r="U27" i="4"/>
  <c r="U26" i="4"/>
  <c r="U23" i="4"/>
  <c r="U22" i="4"/>
  <c r="U21" i="4"/>
  <c r="U17" i="4"/>
  <c r="U16" i="4"/>
  <c r="U15" i="4"/>
  <c r="U14" i="4"/>
  <c r="U13" i="4"/>
  <c r="U12" i="4"/>
  <c r="U8" i="4"/>
  <c r="U6" i="4"/>
  <c r="W305" i="1"/>
  <c r="U11" i="4"/>
  <c r="U7" i="4"/>
  <c r="U189" i="3"/>
  <c r="U187" i="3"/>
  <c r="U183" i="3"/>
  <c r="U179" i="3"/>
  <c r="U175" i="3"/>
  <c r="U173" i="3"/>
  <c r="U168" i="3"/>
  <c r="U166" i="3"/>
  <c r="U164" i="3"/>
  <c r="U162" i="3"/>
  <c r="U156" i="3"/>
  <c r="U155" i="3"/>
  <c r="U153" i="3"/>
  <c r="U151" i="3"/>
  <c r="U149" i="3"/>
  <c r="U147" i="3"/>
  <c r="U145" i="3"/>
  <c r="U144" i="3"/>
  <c r="U139" i="3"/>
  <c r="U134" i="3"/>
  <c r="U129" i="3"/>
  <c r="U124" i="3"/>
  <c r="U119" i="3"/>
  <c r="U108" i="3"/>
  <c r="U96" i="3"/>
  <c r="U95" i="3"/>
  <c r="U93" i="3"/>
  <c r="U91" i="3"/>
  <c r="U89" i="3"/>
  <c r="U85" i="3"/>
  <c r="U82" i="3"/>
  <c r="U79" i="3"/>
  <c r="U76" i="3"/>
  <c r="U73" i="3"/>
  <c r="U68" i="3"/>
  <c r="U65" i="3"/>
  <c r="U62" i="3"/>
  <c r="U59" i="3"/>
  <c r="U56" i="3"/>
  <c r="U55" i="3"/>
  <c r="U54" i="3"/>
  <c r="U50" i="3"/>
  <c r="U46" i="3"/>
  <c r="U41" i="3"/>
  <c r="U37" i="3"/>
  <c r="U33" i="3"/>
  <c r="U26" i="3"/>
  <c r="U18" i="3"/>
  <c r="U11" i="3"/>
  <c r="U4" i="3"/>
  <c r="V257" i="1"/>
  <c r="V256" i="1"/>
  <c r="V255" i="1"/>
  <c r="V254" i="1"/>
  <c r="V253" i="1"/>
  <c r="V252" i="1"/>
  <c r="V251" i="1"/>
  <c r="V246" i="1"/>
  <c r="V245" i="1"/>
  <c r="V241" i="1"/>
  <c r="V225" i="1"/>
  <c r="V218" i="1"/>
  <c r="V217" i="1"/>
  <c r="V212" i="1"/>
  <c r="V202" i="1"/>
  <c r="V194" i="1"/>
  <c r="V190" i="1"/>
  <c r="V189" i="1"/>
  <c r="V188" i="1"/>
  <c r="V186" i="1"/>
  <c r="V181" i="1"/>
  <c r="V174" i="1"/>
  <c r="V163" i="1"/>
  <c r="V156" i="1"/>
  <c r="V155" i="1"/>
  <c r="V154" i="1"/>
  <c r="V153" i="1"/>
  <c r="V141" i="1"/>
  <c r="V125" i="1"/>
  <c r="V120" i="1"/>
  <c r="V116" i="1"/>
  <c r="V110" i="1"/>
  <c r="V109" i="1"/>
  <c r="V105" i="1"/>
  <c r="V100" i="1"/>
  <c r="V82" i="1"/>
  <c r="V78" i="1"/>
  <c r="V65" i="1"/>
  <c r="V59" i="1"/>
  <c r="V46" i="1"/>
  <c r="V43" i="1"/>
  <c r="V38" i="1"/>
  <c r="V24" i="1"/>
  <c r="J144" i="3"/>
  <c r="K144" i="3"/>
  <c r="J55" i="3"/>
  <c r="H94" i="11" s="1"/>
  <c r="J94" i="11" s="1"/>
  <c r="K64" i="11" s="1"/>
  <c r="I40" i="3"/>
  <c r="I36" i="3"/>
  <c r="T94" i="11" l="1"/>
  <c r="T142" i="11" s="1"/>
  <c r="W287" i="1" s="1"/>
  <c r="L55" i="3"/>
  <c r="V55" i="3" s="1"/>
  <c r="L144" i="3"/>
  <c r="V144" i="3" s="1"/>
  <c r="K153" i="6"/>
  <c r="K48" i="6" l="1"/>
  <c r="I47" i="6"/>
  <c r="J47" i="6" s="1"/>
  <c r="B47" i="6"/>
  <c r="A47" i="6"/>
  <c r="K49" i="6"/>
  <c r="K50" i="6"/>
  <c r="J38" i="4"/>
  <c r="L52" i="6"/>
  <c r="J52" i="6"/>
  <c r="K223" i="6"/>
  <c r="L219" i="6" s="1"/>
  <c r="B220" i="6"/>
  <c r="B221" i="6"/>
  <c r="B222" i="6"/>
  <c r="B223" i="6"/>
  <c r="I223" i="6"/>
  <c r="I222" i="6"/>
  <c r="I221" i="6"/>
  <c r="I220" i="6"/>
  <c r="B219" i="6"/>
  <c r="A219" i="6"/>
  <c r="K218" i="6"/>
  <c r="K217" i="6"/>
  <c r="K216" i="6"/>
  <c r="K215" i="6"/>
  <c r="K214" i="6"/>
  <c r="K213" i="6"/>
  <c r="K212" i="6"/>
  <c r="I218" i="6"/>
  <c r="I217" i="6"/>
  <c r="I216" i="6"/>
  <c r="I215" i="6"/>
  <c r="I214" i="6"/>
  <c r="I213" i="6"/>
  <c r="I212" i="6"/>
  <c r="B212" i="6"/>
  <c r="B213" i="6"/>
  <c r="B214" i="6"/>
  <c r="B215" i="6"/>
  <c r="B216" i="6"/>
  <c r="B217" i="6"/>
  <c r="B218" i="6"/>
  <c r="B211" i="6"/>
  <c r="A211" i="6"/>
  <c r="L62" i="6"/>
  <c r="L1" i="6"/>
  <c r="I13" i="6"/>
  <c r="I12" i="6"/>
  <c r="I11" i="6"/>
  <c r="I10" i="6"/>
  <c r="I9" i="6"/>
  <c r="I8" i="6"/>
  <c r="I7" i="6"/>
  <c r="I6" i="6"/>
  <c r="I5" i="6"/>
  <c r="I4" i="6"/>
  <c r="I3" i="6"/>
  <c r="I2" i="6"/>
  <c r="B2" i="6"/>
  <c r="B3" i="6"/>
  <c r="B4" i="6"/>
  <c r="B5" i="6"/>
  <c r="B6" i="6"/>
  <c r="B7" i="6"/>
  <c r="B8" i="6"/>
  <c r="B9" i="6"/>
  <c r="B10" i="6"/>
  <c r="B11" i="6"/>
  <c r="B12" i="6"/>
  <c r="B13" i="6"/>
  <c r="B1" i="6"/>
  <c r="A1" i="6"/>
  <c r="K185" i="6"/>
  <c r="K195" i="6"/>
  <c r="K196" i="6"/>
  <c r="K198" i="6"/>
  <c r="K197" i="6"/>
  <c r="A202" i="6"/>
  <c r="I207" i="6"/>
  <c r="I206" i="6"/>
  <c r="I205" i="6"/>
  <c r="I204" i="6"/>
  <c r="I203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B203" i="6"/>
  <c r="B204" i="6"/>
  <c r="B205" i="6"/>
  <c r="B206" i="6"/>
  <c r="B207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184" i="6"/>
  <c r="A184" i="6"/>
  <c r="K179" i="6"/>
  <c r="L174" i="6" s="1"/>
  <c r="K171" i="6"/>
  <c r="L170" i="6" s="1"/>
  <c r="L182" i="6"/>
  <c r="L164" i="6"/>
  <c r="L157" i="6"/>
  <c r="L155" i="6"/>
  <c r="K152" i="6"/>
  <c r="L151" i="6" s="1"/>
  <c r="A182" i="6"/>
  <c r="A174" i="6"/>
  <c r="A170" i="6"/>
  <c r="A164" i="6"/>
  <c r="A157" i="6"/>
  <c r="A155" i="6"/>
  <c r="B152" i="6"/>
  <c r="B153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I183" i="6"/>
  <c r="J182" i="6" s="1"/>
  <c r="I181" i="6"/>
  <c r="I180" i="6"/>
  <c r="I179" i="6"/>
  <c r="I178" i="6"/>
  <c r="I177" i="6"/>
  <c r="I176" i="6"/>
  <c r="I175" i="6"/>
  <c r="I173" i="6"/>
  <c r="I172" i="6"/>
  <c r="I171" i="6"/>
  <c r="I169" i="6"/>
  <c r="I168" i="6"/>
  <c r="I167" i="6"/>
  <c r="I166" i="6"/>
  <c r="I165" i="6"/>
  <c r="I163" i="6"/>
  <c r="I162" i="6"/>
  <c r="I161" i="6"/>
  <c r="I160" i="6"/>
  <c r="I159" i="6"/>
  <c r="I158" i="6"/>
  <c r="I156" i="6"/>
  <c r="J155" i="6" s="1"/>
  <c r="I153" i="6"/>
  <c r="I152" i="6"/>
  <c r="B151" i="6"/>
  <c r="A151" i="6"/>
  <c r="J150" i="6"/>
  <c r="B150" i="6"/>
  <c r="A150" i="6"/>
  <c r="L144" i="6"/>
  <c r="I149" i="6"/>
  <c r="I148" i="6"/>
  <c r="I147" i="6"/>
  <c r="I146" i="6"/>
  <c r="I145" i="6"/>
  <c r="B148" i="6"/>
  <c r="B149" i="6"/>
  <c r="B145" i="6"/>
  <c r="B146" i="6"/>
  <c r="B147" i="6"/>
  <c r="B144" i="6"/>
  <c r="A144" i="6"/>
  <c r="K140" i="6"/>
  <c r="L138" i="6" s="1"/>
  <c r="I140" i="6"/>
  <c r="I139" i="6"/>
  <c r="B139" i="6"/>
  <c r="B140" i="6"/>
  <c r="B138" i="6"/>
  <c r="A138" i="6"/>
  <c r="I134" i="6"/>
  <c r="I133" i="6"/>
  <c r="I132" i="6"/>
  <c r="I131" i="6"/>
  <c r="I130" i="6"/>
  <c r="I129" i="6"/>
  <c r="I128" i="6"/>
  <c r="B128" i="6"/>
  <c r="B129" i="6"/>
  <c r="B130" i="6"/>
  <c r="B131" i="6"/>
  <c r="B132" i="6"/>
  <c r="B133" i="6"/>
  <c r="B134" i="6"/>
  <c r="B127" i="6"/>
  <c r="A127" i="6"/>
  <c r="L126" i="6"/>
  <c r="K84" i="6"/>
  <c r="K85" i="6"/>
  <c r="K118" i="6"/>
  <c r="K117" i="6"/>
  <c r="K116" i="6"/>
  <c r="K121" i="6"/>
  <c r="K119" i="6"/>
  <c r="K125" i="6"/>
  <c r="K115" i="6"/>
  <c r="L86" i="6"/>
  <c r="I126" i="6"/>
  <c r="J126" i="6" s="1"/>
  <c r="I125" i="6"/>
  <c r="I124" i="6"/>
  <c r="I123" i="6"/>
  <c r="I122" i="6"/>
  <c r="I121" i="6"/>
  <c r="I120" i="6"/>
  <c r="I119" i="6"/>
  <c r="I118" i="6"/>
  <c r="I117" i="6"/>
  <c r="I116" i="6"/>
  <c r="I115" i="6"/>
  <c r="I113" i="6"/>
  <c r="I112" i="6"/>
  <c r="I111" i="6"/>
  <c r="I110" i="6"/>
  <c r="I109" i="6"/>
  <c r="I108" i="6"/>
  <c r="I107" i="6"/>
  <c r="I106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5" i="6"/>
  <c r="I84" i="6"/>
  <c r="I83" i="6"/>
  <c r="A126" i="6"/>
  <c r="A114" i="6"/>
  <c r="A105" i="6"/>
  <c r="A86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82" i="6"/>
  <c r="A82" i="6"/>
  <c r="L63" i="6"/>
  <c r="L78" i="6"/>
  <c r="J78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B76" i="6"/>
  <c r="B74" i="6"/>
  <c r="B75" i="6"/>
  <c r="B73" i="6"/>
  <c r="B64" i="6"/>
  <c r="B65" i="6"/>
  <c r="B66" i="6"/>
  <c r="B67" i="6"/>
  <c r="B68" i="6"/>
  <c r="B69" i="6"/>
  <c r="B70" i="6"/>
  <c r="B71" i="6"/>
  <c r="B72" i="6"/>
  <c r="B63" i="6"/>
  <c r="A63" i="6"/>
  <c r="K60" i="6"/>
  <c r="K61" i="6"/>
  <c r="J62" i="6"/>
  <c r="K58" i="6"/>
  <c r="K59" i="6"/>
  <c r="K57" i="6"/>
  <c r="K55" i="6"/>
  <c r="L53" i="6" s="1"/>
  <c r="K54" i="6"/>
  <c r="K42" i="6"/>
  <c r="L32" i="6"/>
  <c r="J7" i="4" s="1"/>
  <c r="K39" i="6"/>
  <c r="L44" i="6"/>
  <c r="I61" i="6"/>
  <c r="I60" i="6"/>
  <c r="I59" i="6"/>
  <c r="I58" i="6"/>
  <c r="I57" i="6"/>
  <c r="I56" i="6"/>
  <c r="I55" i="6"/>
  <c r="I54" i="6"/>
  <c r="B54" i="6"/>
  <c r="B55" i="6"/>
  <c r="B56" i="6"/>
  <c r="B57" i="6"/>
  <c r="B58" i="6"/>
  <c r="B59" i="6"/>
  <c r="B60" i="6"/>
  <c r="B61" i="6"/>
  <c r="B53" i="6"/>
  <c r="A53" i="6"/>
  <c r="K35" i="6"/>
  <c r="K41" i="6"/>
  <c r="K38" i="6"/>
  <c r="I46" i="6"/>
  <c r="I45" i="6"/>
  <c r="I42" i="6"/>
  <c r="I41" i="6"/>
  <c r="I40" i="6"/>
  <c r="I39" i="6"/>
  <c r="I38" i="6"/>
  <c r="I37" i="6"/>
  <c r="I36" i="6"/>
  <c r="I35" i="6"/>
  <c r="I34" i="6"/>
  <c r="A44" i="6"/>
  <c r="B34" i="6"/>
  <c r="B35" i="6"/>
  <c r="B36" i="6"/>
  <c r="B37" i="6"/>
  <c r="B38" i="6"/>
  <c r="B39" i="6"/>
  <c r="B40" i="6"/>
  <c r="B41" i="6"/>
  <c r="B42" i="6"/>
  <c r="B44" i="6"/>
  <c r="B45" i="6"/>
  <c r="B46" i="6"/>
  <c r="B33" i="6"/>
  <c r="A33" i="6"/>
  <c r="K28" i="6"/>
  <c r="K29" i="6"/>
  <c r="K27" i="6"/>
  <c r="K25" i="6"/>
  <c r="K24" i="6"/>
  <c r="K23" i="6"/>
  <c r="K21" i="6"/>
  <c r="K22" i="6"/>
  <c r="K19" i="6"/>
  <c r="K18" i="6"/>
  <c r="K20" i="6"/>
  <c r="K31" i="6"/>
  <c r="K30" i="6"/>
  <c r="I18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17" i="6"/>
  <c r="A17" i="6"/>
  <c r="J48" i="4"/>
  <c r="J47" i="4"/>
  <c r="J49" i="4" s="1"/>
  <c r="L38" i="4" l="1"/>
  <c r="V38" i="4" s="1"/>
  <c r="J219" i="6"/>
  <c r="J35" i="4"/>
  <c r="J33" i="4"/>
  <c r="J6" i="4"/>
  <c r="J36" i="4"/>
  <c r="L211" i="6"/>
  <c r="J211" i="6"/>
  <c r="J1" i="6"/>
  <c r="J138" i="6"/>
  <c r="J202" i="6"/>
  <c r="J184" i="6"/>
  <c r="L184" i="6"/>
  <c r="J170" i="6"/>
  <c r="J151" i="6"/>
  <c r="J157" i="6"/>
  <c r="J164" i="6"/>
  <c r="J174" i="6"/>
  <c r="J144" i="6"/>
  <c r="J127" i="6"/>
  <c r="J114" i="6"/>
  <c r="L82" i="6"/>
  <c r="L114" i="6"/>
  <c r="L105" i="6"/>
  <c r="J105" i="6"/>
  <c r="J86" i="6"/>
  <c r="J82" i="6"/>
  <c r="J63" i="6"/>
  <c r="L47" i="6"/>
  <c r="J44" i="6"/>
  <c r="J53" i="6"/>
  <c r="J17" i="6"/>
  <c r="L33" i="6"/>
  <c r="J33" i="6"/>
  <c r="L17" i="6"/>
  <c r="L43" i="1"/>
  <c r="W43" i="1" s="1"/>
  <c r="L42" i="1"/>
  <c r="W42" i="1" s="1"/>
  <c r="L38" i="1"/>
  <c r="W38" i="1" s="1"/>
  <c r="J44" i="4"/>
  <c r="J46" i="4" s="1"/>
  <c r="J43" i="4" l="1"/>
  <c r="K95" i="3" l="1"/>
  <c r="L54" i="3"/>
  <c r="V54" i="3" s="1"/>
  <c r="L95" i="3" l="1"/>
  <c r="V95" i="3" s="1"/>
  <c r="I20" i="11"/>
  <c r="J20" i="11" s="1"/>
  <c r="T20" i="11" s="1"/>
  <c r="I107" i="3"/>
  <c r="I106" i="3"/>
  <c r="I105" i="3"/>
  <c r="I104" i="3"/>
  <c r="I115" i="3"/>
  <c r="I114" i="3"/>
  <c r="I113" i="3"/>
  <c r="I103" i="3"/>
  <c r="I102" i="3"/>
  <c r="I101" i="3"/>
  <c r="K108" i="3"/>
  <c r="I112" i="3"/>
  <c r="I111" i="3"/>
  <c r="I110" i="3"/>
  <c r="I109" i="3"/>
  <c r="I100" i="3"/>
  <c r="I99" i="3"/>
  <c r="K96" i="3"/>
  <c r="I98" i="3"/>
  <c r="I97" i="3"/>
  <c r="K93" i="3"/>
  <c r="I19" i="11" s="1"/>
  <c r="K91" i="3"/>
  <c r="I18" i="11" s="1"/>
  <c r="K89" i="3"/>
  <c r="I17" i="11" s="1"/>
  <c r="K87" i="3"/>
  <c r="I16" i="11" s="1"/>
  <c r="K85" i="3"/>
  <c r="I15" i="11" s="1"/>
  <c r="K82" i="3"/>
  <c r="K84" i="3" s="1"/>
  <c r="L84" i="3" s="1"/>
  <c r="V84" i="3" s="1"/>
  <c r="K79" i="3"/>
  <c r="K81" i="3" s="1"/>
  <c r="L81" i="3" s="1"/>
  <c r="V81" i="3" s="1"/>
  <c r="I77" i="3"/>
  <c r="J76" i="3" s="1"/>
  <c r="K76" i="3"/>
  <c r="K78" i="3" s="1"/>
  <c r="L78" i="3" s="1"/>
  <c r="V78" i="3" s="1"/>
  <c r="K73" i="3"/>
  <c r="K75" i="3" s="1"/>
  <c r="L75" i="3" s="1"/>
  <c r="V75" i="3" s="1"/>
  <c r="I94" i="3"/>
  <c r="J93" i="3" s="1"/>
  <c r="E19" i="11" s="1"/>
  <c r="H19" i="11" s="1"/>
  <c r="M93" i="3"/>
  <c r="I92" i="3"/>
  <c r="J91" i="3" s="1"/>
  <c r="E18" i="11" s="1"/>
  <c r="H18" i="11" s="1"/>
  <c r="I90" i="3"/>
  <c r="J87" i="3"/>
  <c r="E16" i="11" s="1"/>
  <c r="H16" i="11" s="1"/>
  <c r="I86" i="3"/>
  <c r="I83" i="3"/>
  <c r="I80" i="3"/>
  <c r="I74" i="3"/>
  <c r="J73" i="3" s="1"/>
  <c r="L29" i="4"/>
  <c r="V29" i="4" s="1"/>
  <c r="J23" i="4"/>
  <c r="J22" i="4"/>
  <c r="J21" i="4"/>
  <c r="J31" i="4"/>
  <c r="L31" i="4" s="1"/>
  <c r="V31" i="4" s="1"/>
  <c r="J27" i="4"/>
  <c r="J26" i="4"/>
  <c r="L26" i="4" s="1"/>
  <c r="V26" i="4" s="1"/>
  <c r="L17" i="4"/>
  <c r="V17" i="4" s="1"/>
  <c r="J16" i="4"/>
  <c r="J15" i="4"/>
  <c r="J13" i="4"/>
  <c r="J12" i="4"/>
  <c r="L7" i="4"/>
  <c r="V7" i="4" s="1"/>
  <c r="I62" i="11" l="1"/>
  <c r="J62" i="11" s="1"/>
  <c r="T62" i="11" s="1"/>
  <c r="I59" i="11"/>
  <c r="J59" i="11" s="1"/>
  <c r="T59" i="11" s="1"/>
  <c r="I61" i="11"/>
  <c r="J61" i="11" s="1"/>
  <c r="T61" i="11" s="1"/>
  <c r="I60" i="11"/>
  <c r="J60" i="11" s="1"/>
  <c r="T60" i="11" s="1"/>
  <c r="I55" i="11"/>
  <c r="J55" i="11" s="1"/>
  <c r="T55" i="11" s="1"/>
  <c r="I51" i="11"/>
  <c r="J51" i="11" s="1"/>
  <c r="T51" i="11" s="1"/>
  <c r="I56" i="11"/>
  <c r="J56" i="11" s="1"/>
  <c r="T56" i="11" s="1"/>
  <c r="I54" i="11"/>
  <c r="J54" i="11" s="1"/>
  <c r="T54" i="11" s="1"/>
  <c r="I50" i="11"/>
  <c r="J50" i="11" s="1"/>
  <c r="T50" i="11" s="1"/>
  <c r="I53" i="11"/>
  <c r="J53" i="11" s="1"/>
  <c r="T53" i="11" s="1"/>
  <c r="I49" i="11"/>
  <c r="J49" i="11" s="1"/>
  <c r="I52" i="11"/>
  <c r="J52" i="11" s="1"/>
  <c r="T52" i="11" s="1"/>
  <c r="J19" i="11"/>
  <c r="T19" i="11" s="1"/>
  <c r="J18" i="11"/>
  <c r="T18" i="11" s="1"/>
  <c r="J16" i="11"/>
  <c r="J96" i="3"/>
  <c r="L96" i="3" s="1"/>
  <c r="V96" i="3" s="1"/>
  <c r="J108" i="3"/>
  <c r="L108" i="3" s="1"/>
  <c r="V108" i="3" s="1"/>
  <c r="J85" i="3"/>
  <c r="J89" i="3"/>
  <c r="L93" i="3"/>
  <c r="V93" i="3" s="1"/>
  <c r="L91" i="3"/>
  <c r="V91" i="3" s="1"/>
  <c r="L87" i="3"/>
  <c r="J82" i="3"/>
  <c r="L82" i="3" s="1"/>
  <c r="V82" i="3" s="1"/>
  <c r="L73" i="3"/>
  <c r="V73" i="3" s="1"/>
  <c r="L76" i="3"/>
  <c r="V76" i="3" s="1"/>
  <c r="J79" i="3"/>
  <c r="L79" i="3" s="1"/>
  <c r="V79" i="3" s="1"/>
  <c r="L30" i="4"/>
  <c r="V30" i="4" s="1"/>
  <c r="L27" i="4"/>
  <c r="V27" i="4" s="1"/>
  <c r="L23" i="4"/>
  <c r="V23" i="4" s="1"/>
  <c r="L22" i="4"/>
  <c r="V22" i="4" s="1"/>
  <c r="L21" i="4"/>
  <c r="V21" i="4" s="1"/>
  <c r="L15" i="4"/>
  <c r="V15" i="4" s="1"/>
  <c r="L16" i="4"/>
  <c r="V16" i="4" s="1"/>
  <c r="L14" i="4"/>
  <c r="V14" i="4" s="1"/>
  <c r="L13" i="4"/>
  <c r="V13" i="4" s="1"/>
  <c r="L36" i="4"/>
  <c r="V36" i="4" s="1"/>
  <c r="L35" i="4"/>
  <c r="V35" i="4" s="1"/>
  <c r="L33" i="4"/>
  <c r="V33" i="4" s="1"/>
  <c r="L41" i="4"/>
  <c r="V41" i="4" s="1"/>
  <c r="V51" i="4" s="1"/>
  <c r="L40" i="4"/>
  <c r="V40" i="4" s="1"/>
  <c r="L39" i="4"/>
  <c r="V39" i="4" s="1"/>
  <c r="L37" i="4"/>
  <c r="V37" i="4" s="1"/>
  <c r="L32" i="4"/>
  <c r="V32" i="4" s="1"/>
  <c r="L12" i="4"/>
  <c r="V12" i="4" s="1"/>
  <c r="L11" i="4"/>
  <c r="V11" i="4" s="1"/>
  <c r="L8" i="4"/>
  <c r="V8" i="4" s="1"/>
  <c r="L6" i="4"/>
  <c r="V6" i="4" s="1"/>
  <c r="K23" i="1"/>
  <c r="W277" i="1" l="1"/>
  <c r="W303" i="1" s="1"/>
  <c r="K46" i="11"/>
  <c r="T49" i="11"/>
  <c r="L85" i="3"/>
  <c r="V85" i="3" s="1"/>
  <c r="E15" i="11"/>
  <c r="H15" i="11" s="1"/>
  <c r="J15" i="11" s="1"/>
  <c r="T15" i="11" s="1"/>
  <c r="L89" i="3"/>
  <c r="V89" i="3" s="1"/>
  <c r="E17" i="11"/>
  <c r="H17" i="11" s="1"/>
  <c r="J17" i="11" s="1"/>
  <c r="T17" i="11" s="1"/>
  <c r="L277" i="1"/>
  <c r="L188" i="1"/>
  <c r="W188" i="1" s="1"/>
  <c r="L187" i="1"/>
  <c r="L187" i="3"/>
  <c r="V187" i="3" s="1"/>
  <c r="L155" i="3"/>
  <c r="V155" i="3" s="1"/>
  <c r="O100" i="1"/>
  <c r="L24" i="1" l="1"/>
  <c r="W24" i="1" s="1"/>
  <c r="I190" i="3"/>
  <c r="J189" i="3" s="1"/>
  <c r="L189" i="3" s="1"/>
  <c r="V189" i="3" s="1"/>
  <c r="I186" i="3"/>
  <c r="I185" i="3"/>
  <c r="I184" i="3"/>
  <c r="I181" i="3"/>
  <c r="I182" i="3"/>
  <c r="I180" i="3"/>
  <c r="I177" i="3"/>
  <c r="I178" i="3"/>
  <c r="H174" i="3"/>
  <c r="I174" i="3" s="1"/>
  <c r="J173" i="3" s="1"/>
  <c r="L173" i="3" s="1"/>
  <c r="V173" i="3" s="1"/>
  <c r="I176" i="3"/>
  <c r="I171" i="3"/>
  <c r="I170" i="3"/>
  <c r="I169" i="3"/>
  <c r="H160" i="3"/>
  <c r="I160" i="3" s="1"/>
  <c r="H159" i="3"/>
  <c r="I159" i="3" s="1"/>
  <c r="H158" i="3"/>
  <c r="I158" i="3" s="1"/>
  <c r="I161" i="3"/>
  <c r="I157" i="3"/>
  <c r="H167" i="3"/>
  <c r="I167" i="3" s="1"/>
  <c r="I165" i="3"/>
  <c r="I64" i="3"/>
  <c r="I63" i="3"/>
  <c r="I163" i="3"/>
  <c r="I138" i="3"/>
  <c r="J134" i="3" s="1"/>
  <c r="I137" i="3"/>
  <c r="I136" i="3"/>
  <c r="I135" i="3"/>
  <c r="H140" i="3"/>
  <c r="I140" i="3" s="1"/>
  <c r="H141" i="3"/>
  <c r="I141" i="3" s="1"/>
  <c r="H143" i="3"/>
  <c r="I143" i="3" s="1"/>
  <c r="I142" i="3"/>
  <c r="H133" i="3"/>
  <c r="I133" i="3" s="1"/>
  <c r="H131" i="3"/>
  <c r="I131" i="3" s="1"/>
  <c r="H130" i="3"/>
  <c r="I130" i="3" s="1"/>
  <c r="I127" i="3"/>
  <c r="I128" i="3"/>
  <c r="I126" i="3"/>
  <c r="I125" i="3"/>
  <c r="I122" i="3"/>
  <c r="I123" i="3"/>
  <c r="H152" i="3"/>
  <c r="I152" i="3" s="1"/>
  <c r="J151" i="3" s="1"/>
  <c r="H150" i="3"/>
  <c r="I150" i="3" s="1"/>
  <c r="F148" i="3"/>
  <c r="I148" i="3" s="1"/>
  <c r="J147" i="3" s="1"/>
  <c r="I154" i="3"/>
  <c r="M153" i="3"/>
  <c r="I146" i="3"/>
  <c r="J145" i="3" s="1"/>
  <c r="L145" i="3" s="1"/>
  <c r="V145" i="3" s="1"/>
  <c r="I132" i="3"/>
  <c r="I121" i="3"/>
  <c r="I120" i="3"/>
  <c r="I69" i="3"/>
  <c r="H67" i="3"/>
  <c r="I67" i="3" s="1"/>
  <c r="H66" i="3"/>
  <c r="I66" i="3" s="1"/>
  <c r="I61" i="3"/>
  <c r="I60" i="3"/>
  <c r="J168" i="3" l="1"/>
  <c r="J68" i="3"/>
  <c r="L68" i="3" s="1"/>
  <c r="V68" i="3" s="1"/>
  <c r="J175" i="3"/>
  <c r="L175" i="3" s="1"/>
  <c r="V175" i="3" s="1"/>
  <c r="J179" i="3"/>
  <c r="L179" i="3" s="1"/>
  <c r="V179" i="3" s="1"/>
  <c r="J183" i="3"/>
  <c r="L183" i="3" s="1"/>
  <c r="V183" i="3" s="1"/>
  <c r="L168" i="3"/>
  <c r="V168" i="3" s="1"/>
  <c r="J156" i="3"/>
  <c r="L156" i="3" s="1"/>
  <c r="V156" i="3" s="1"/>
  <c r="J164" i="3"/>
  <c r="L164" i="3" s="1"/>
  <c r="V164" i="3" s="1"/>
  <c r="J166" i="3"/>
  <c r="L166" i="3" s="1"/>
  <c r="V166" i="3" s="1"/>
  <c r="J162" i="3"/>
  <c r="L162" i="3" s="1"/>
  <c r="V162" i="3" s="1"/>
  <c r="J119" i="3"/>
  <c r="L119" i="3" s="1"/>
  <c r="V119" i="3" s="1"/>
  <c r="J124" i="3"/>
  <c r="J139" i="3"/>
  <c r="J129" i="3"/>
  <c r="L129" i="3" s="1"/>
  <c r="V129" i="3" s="1"/>
  <c r="J153" i="3"/>
  <c r="J149" i="3"/>
  <c r="L149" i="3" s="1"/>
  <c r="V149" i="3" s="1"/>
  <c r="J59" i="3"/>
  <c r="L59" i="3" s="1"/>
  <c r="V59" i="3" s="1"/>
  <c r="J65" i="3"/>
  <c r="L65" i="3" s="1"/>
  <c r="V65" i="3" s="1"/>
  <c r="J62" i="3"/>
  <c r="L62" i="3" s="1"/>
  <c r="V62" i="3" s="1"/>
  <c r="I58" i="3"/>
  <c r="I57" i="3"/>
  <c r="M50" i="3"/>
  <c r="J56" i="3" l="1"/>
  <c r="L56" i="3" s="1"/>
  <c r="V56" i="3" s="1"/>
  <c r="I48" i="3"/>
  <c r="I47" i="3"/>
  <c r="E11" i="11" s="1"/>
  <c r="H11" i="11" s="1"/>
  <c r="J11" i="11" s="1"/>
  <c r="T11" i="11" s="1"/>
  <c r="I43" i="3"/>
  <c r="I42" i="3"/>
  <c r="E10" i="11" s="1"/>
  <c r="H10" i="11" s="1"/>
  <c r="J10" i="11" s="1"/>
  <c r="T10" i="11" s="1"/>
  <c r="I52" i="3"/>
  <c r="I51" i="3"/>
  <c r="E12" i="11" s="1"/>
  <c r="H12" i="11" s="1"/>
  <c r="J12" i="11" s="1"/>
  <c r="T12" i="11" s="1"/>
  <c r="I39" i="3"/>
  <c r="I35" i="3"/>
  <c r="H44" i="3" s="1"/>
  <c r="I34" i="3"/>
  <c r="E8" i="11" s="1"/>
  <c r="H8" i="11" s="1"/>
  <c r="J8" i="11" s="1"/>
  <c r="H21" i="3"/>
  <c r="I21" i="3" s="1"/>
  <c r="H20" i="3"/>
  <c r="I20" i="3" s="1"/>
  <c r="H19" i="3"/>
  <c r="I19" i="3" s="1"/>
  <c r="I13" i="3"/>
  <c r="I14" i="3"/>
  <c r="I12" i="3"/>
  <c r="I29" i="3"/>
  <c r="J26" i="3" s="1"/>
  <c r="I6" i="3"/>
  <c r="I7" i="3"/>
  <c r="I5" i="3"/>
  <c r="J142" i="11" l="1"/>
  <c r="J18" i="3"/>
  <c r="K2" i="11"/>
  <c r="T8" i="11"/>
  <c r="J11" i="3"/>
  <c r="L11" i="3" s="1"/>
  <c r="V11" i="3" s="1"/>
  <c r="H22" i="3"/>
  <c r="J50" i="3"/>
  <c r="L50" i="3" s="1"/>
  <c r="V50" i="3" s="1"/>
  <c r="J33" i="3"/>
  <c r="L33" i="3" s="1"/>
  <c r="V33" i="3" s="1"/>
  <c r="H49" i="3"/>
  <c r="I44" i="3"/>
  <c r="J37" i="3"/>
  <c r="L37" i="3" s="1"/>
  <c r="V37" i="3" s="1"/>
  <c r="L153" i="3"/>
  <c r="V153" i="3" s="1"/>
  <c r="L139" i="3"/>
  <c r="V139" i="3" s="1"/>
  <c r="L151" i="3"/>
  <c r="V151" i="3" s="1"/>
  <c r="L134" i="3"/>
  <c r="V134" i="3" s="1"/>
  <c r="L147" i="3"/>
  <c r="V147" i="3" s="1"/>
  <c r="L124" i="3"/>
  <c r="V124" i="3" s="1"/>
  <c r="L26" i="3"/>
  <c r="V26" i="3" s="1"/>
  <c r="L18" i="3"/>
  <c r="V18" i="3" s="1"/>
  <c r="J4" i="3"/>
  <c r="L4" i="3" s="1"/>
  <c r="V4" i="3" s="1"/>
  <c r="L287" i="1" l="1"/>
  <c r="J41" i="3"/>
  <c r="L41" i="3" s="1"/>
  <c r="V41" i="3" s="1"/>
  <c r="I49" i="3"/>
  <c r="J46" i="3" s="1"/>
  <c r="L46" i="3" s="1"/>
  <c r="V46" i="3" s="1"/>
  <c r="I22" i="3"/>
  <c r="J22" i="3" s="1"/>
  <c r="L22" i="3" s="1"/>
  <c r="V22" i="3" s="1"/>
  <c r="H23" i="3"/>
  <c r="I23" i="3" s="1"/>
  <c r="J23" i="3" s="1"/>
  <c r="L23" i="3" s="1"/>
  <c r="V23" i="3" s="1"/>
  <c r="J144" i="11"/>
  <c r="L192" i="3" l="1"/>
  <c r="L275" i="1" s="1"/>
  <c r="V192" i="3"/>
  <c r="W275" i="1" s="1"/>
  <c r="L109" i="1" l="1"/>
  <c r="W109" i="1" s="1"/>
  <c r="I78" i="1"/>
  <c r="J78" i="1" s="1"/>
  <c r="J65" i="1"/>
  <c r="L225" i="1"/>
  <c r="W225" i="1" s="1"/>
  <c r="L190" i="1"/>
  <c r="W190" i="1" s="1"/>
  <c r="L189" i="1"/>
  <c r="W189" i="1" s="1"/>
  <c r="L186" i="1"/>
  <c r="W186" i="1" s="1"/>
  <c r="L65" i="1" l="1"/>
  <c r="W65" i="1" s="1"/>
  <c r="L78" i="1"/>
  <c r="W78" i="1" s="1"/>
  <c r="J59" i="1" l="1"/>
  <c r="I106" i="1"/>
  <c r="I107" i="1"/>
  <c r="I108" i="1"/>
  <c r="I111" i="1"/>
  <c r="I112" i="1"/>
  <c r="I113" i="1"/>
  <c r="I114" i="1"/>
  <c r="J115" i="1"/>
  <c r="L115" i="1" s="1"/>
  <c r="W115" i="1" s="1"/>
  <c r="J116" i="1"/>
  <c r="I121" i="1"/>
  <c r="I123" i="1"/>
  <c r="I126" i="1"/>
  <c r="I127" i="1"/>
  <c r="I128" i="1"/>
  <c r="I129" i="1"/>
  <c r="I130" i="1"/>
  <c r="I131" i="1"/>
  <c r="I133" i="1"/>
  <c r="I142" i="1"/>
  <c r="I143" i="1"/>
  <c r="I144" i="1"/>
  <c r="I146" i="1"/>
  <c r="I147" i="1"/>
  <c r="J153" i="1"/>
  <c r="J154" i="1"/>
  <c r="J155" i="1"/>
  <c r="J156" i="1"/>
  <c r="I164" i="1"/>
  <c r="I165" i="1"/>
  <c r="I166" i="1"/>
  <c r="I167" i="1"/>
  <c r="I168" i="1"/>
  <c r="I169" i="1"/>
  <c r="I170" i="1"/>
  <c r="I175" i="1"/>
  <c r="I176" i="1"/>
  <c r="I177" i="1"/>
  <c r="I178" i="1"/>
  <c r="I179" i="1"/>
  <c r="I180" i="1"/>
  <c r="I181" i="1"/>
  <c r="J181" i="1" s="1"/>
  <c r="I195" i="1"/>
  <c r="I196" i="1"/>
  <c r="I241" i="1"/>
  <c r="J241" i="1" s="1"/>
  <c r="I245" i="1"/>
  <c r="I246" i="1"/>
  <c r="J246" i="1" s="1"/>
  <c r="I247" i="1"/>
  <c r="J247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13" i="1"/>
  <c r="I214" i="1"/>
  <c r="I215" i="1"/>
  <c r="I216" i="1"/>
  <c r="I204" i="1"/>
  <c r="J202" i="1" s="1"/>
  <c r="I62" i="1"/>
  <c r="I61" i="1"/>
  <c r="I109" i="1"/>
  <c r="I103" i="1"/>
  <c r="I63" i="1"/>
  <c r="I80" i="1"/>
  <c r="I217" i="1"/>
  <c r="I94" i="1"/>
  <c r="I60" i="1"/>
  <c r="I66" i="1"/>
  <c r="I83" i="1"/>
  <c r="I98" i="1"/>
  <c r="I91" i="1"/>
  <c r="I90" i="1"/>
  <c r="I89" i="1"/>
  <c r="I87" i="1"/>
  <c r="I75" i="1"/>
  <c r="I74" i="1"/>
  <c r="I68" i="1"/>
  <c r="I69" i="1"/>
  <c r="I100" i="1"/>
  <c r="I99" i="1"/>
  <c r="I97" i="1"/>
  <c r="I96" i="1"/>
  <c r="I95" i="1"/>
  <c r="I88" i="1"/>
  <c r="I86" i="1"/>
  <c r="I77" i="1"/>
  <c r="I73" i="1"/>
  <c r="I72" i="1"/>
  <c r="I71" i="1"/>
  <c r="I70" i="1"/>
  <c r="I102" i="1"/>
  <c r="I101" i="1"/>
  <c r="I93" i="1"/>
  <c r="I92" i="1"/>
  <c r="I85" i="1"/>
  <c r="I84" i="1"/>
  <c r="I82" i="1"/>
  <c r="I79" i="1"/>
  <c r="I76" i="1"/>
  <c r="I67" i="1"/>
  <c r="I115" i="1"/>
  <c r="J141" i="1" l="1"/>
  <c r="J120" i="1"/>
  <c r="J125" i="1"/>
  <c r="L136" i="1"/>
  <c r="W136" i="1" s="1"/>
  <c r="L135" i="1"/>
  <c r="W135" i="1" s="1"/>
  <c r="L134" i="1"/>
  <c r="W134" i="1" s="1"/>
  <c r="J100" i="1"/>
  <c r="L100" i="1" s="1"/>
  <c r="W100" i="1" s="1"/>
  <c r="L120" i="1"/>
  <c r="W120" i="1" s="1"/>
  <c r="J174" i="1"/>
  <c r="J194" i="1"/>
  <c r="L194" i="1" s="1"/>
  <c r="W194" i="1" s="1"/>
  <c r="L255" i="1"/>
  <c r="W255" i="1" s="1"/>
  <c r="L246" i="1"/>
  <c r="W246" i="1" s="1"/>
  <c r="L257" i="1"/>
  <c r="W257" i="1" s="1"/>
  <c r="L156" i="1"/>
  <c r="W156" i="1" s="1"/>
  <c r="L116" i="1"/>
  <c r="W116" i="1" s="1"/>
  <c r="L254" i="1"/>
  <c r="W254" i="1" s="1"/>
  <c r="L155" i="1"/>
  <c r="W155" i="1" s="1"/>
  <c r="L256" i="1"/>
  <c r="W256" i="1" s="1"/>
  <c r="L253" i="1"/>
  <c r="W253" i="1" s="1"/>
  <c r="L154" i="1"/>
  <c r="W154" i="1" s="1"/>
  <c r="J145" i="1"/>
  <c r="J110" i="1"/>
  <c r="L82" i="1"/>
  <c r="W82" i="1" s="1"/>
  <c r="L251" i="1"/>
  <c r="W251" i="1" s="1"/>
  <c r="J163" i="1"/>
  <c r="L252" i="1"/>
  <c r="W252" i="1" s="1"/>
  <c r="L241" i="1"/>
  <c r="W241" i="1" s="1"/>
  <c r="L181" i="1"/>
  <c r="W181" i="1" s="1"/>
  <c r="L153" i="1"/>
  <c r="W153" i="1" s="1"/>
  <c r="L59" i="1"/>
  <c r="W59" i="1" s="1"/>
  <c r="J237" i="1"/>
  <c r="J105" i="1"/>
  <c r="J212" i="1"/>
  <c r="J245" i="1"/>
  <c r="J218" i="1" l="1"/>
  <c r="J217" i="1"/>
  <c r="L174" i="1"/>
  <c r="W174" i="1" s="1"/>
  <c r="L202" i="1"/>
  <c r="W202" i="1" s="1"/>
  <c r="L245" i="1"/>
  <c r="W245" i="1" s="1"/>
  <c r="L141" i="1"/>
  <c r="W141" i="1" s="1"/>
  <c r="L105" i="1"/>
  <c r="W105" i="1" s="1"/>
  <c r="L237" i="1"/>
  <c r="L125" i="1"/>
  <c r="W125" i="1" s="1"/>
  <c r="L212" i="1"/>
  <c r="W212" i="1" s="1"/>
  <c r="L163" i="1"/>
  <c r="W163" i="1" s="1"/>
  <c r="L110" i="1"/>
  <c r="W110" i="1" s="1"/>
  <c r="L218" i="1" l="1"/>
  <c r="W218" i="1" s="1"/>
  <c r="L259" i="1"/>
  <c r="L271" i="1" s="1"/>
  <c r="L217" i="1"/>
  <c r="W217" i="1" s="1"/>
  <c r="L46" i="1" l="1"/>
  <c r="W46" i="1" s="1"/>
  <c r="W314" i="1" l="1"/>
  <c r="L228" i="1"/>
  <c r="L267" i="1" s="1"/>
  <c r="L298" i="1" l="1"/>
  <c r="L303" i="1"/>
  <c r="L300" i="1" l="1"/>
  <c r="L305" i="1" s="1"/>
</calcChain>
</file>

<file path=xl/sharedStrings.xml><?xml version="1.0" encoding="utf-8"?>
<sst xmlns="http://schemas.openxmlformats.org/spreadsheetml/2006/main" count="1768" uniqueCount="858">
  <si>
    <t>1.11.6</t>
  </si>
  <si>
    <t>1.11.7</t>
  </si>
  <si>
    <t>1.11.8</t>
  </si>
  <si>
    <t>1.11.9</t>
  </si>
  <si>
    <t>1.11.10</t>
  </si>
  <si>
    <t>PIERRES</t>
  </si>
  <si>
    <t>Tracé des ouvrages</t>
  </si>
  <si>
    <t>Planning</t>
  </si>
  <si>
    <t>Stockage des matériaux</t>
  </si>
  <si>
    <t>m2</t>
  </si>
  <si>
    <t>1.2</t>
  </si>
  <si>
    <t>1.21</t>
  </si>
  <si>
    <t>1.22</t>
  </si>
  <si>
    <t>1.23</t>
  </si>
  <si>
    <t>FOUILLES - TERRASSEMENTS</t>
  </si>
  <si>
    <t>REMBLAIS</t>
  </si>
  <si>
    <t>inclus</t>
  </si>
  <si>
    <t>PM</t>
  </si>
  <si>
    <t>FF</t>
  </si>
  <si>
    <t>m3</t>
  </si>
  <si>
    <t>mct</t>
  </si>
  <si>
    <t>BETONS</t>
  </si>
  <si>
    <t>1.23.1</t>
  </si>
  <si>
    <t>1.23.3</t>
  </si>
  <si>
    <t>1.24</t>
  </si>
  <si>
    <t>1.24.2</t>
  </si>
  <si>
    <t>1.13.1</t>
  </si>
  <si>
    <t>1.12</t>
  </si>
  <si>
    <t>1.12.1</t>
  </si>
  <si>
    <t>Cloture de chantier</t>
  </si>
  <si>
    <t>Panneau de chantier</t>
  </si>
  <si>
    <t>Mesures de sécurité</t>
  </si>
  <si>
    <t>Honoraires coordinateur sécurité (à charge Maître de l'Ouvrage)</t>
  </si>
  <si>
    <t>Eau et électricité de chantier</t>
  </si>
  <si>
    <t>Propreté de chantier</t>
  </si>
  <si>
    <t>Matériels - machines</t>
  </si>
  <si>
    <t>Echafaudages - étaiements</t>
  </si>
  <si>
    <t xml:space="preserve">Assurances </t>
  </si>
  <si>
    <t>TRAVAUX PREALABLES</t>
  </si>
  <si>
    <t>N°</t>
  </si>
  <si>
    <t>1.1</t>
  </si>
  <si>
    <t>1.11</t>
  </si>
  <si>
    <t>1.11.1</t>
  </si>
  <si>
    <t>1.11.3</t>
  </si>
  <si>
    <t>1.11.4</t>
  </si>
  <si>
    <t>1.11.5</t>
  </si>
  <si>
    <t>UNITES</t>
  </si>
  <si>
    <t>QUANTITES</t>
  </si>
  <si>
    <t>SS-TOTAL</t>
  </si>
  <si>
    <t>1.26</t>
  </si>
  <si>
    <t>1.26.1</t>
  </si>
  <si>
    <t>pc</t>
  </si>
  <si>
    <t>TRAVAUX PREPARATOIRES</t>
  </si>
  <si>
    <t>INSTALLATION DE CHANTIER</t>
  </si>
  <si>
    <t>1.12.2</t>
  </si>
  <si>
    <t>1.12.3</t>
  </si>
  <si>
    <t>1.12.4</t>
  </si>
  <si>
    <t>1.12.5</t>
  </si>
  <si>
    <t>1.13</t>
  </si>
  <si>
    <t>DESCRIPTION</t>
  </si>
  <si>
    <t>PRIX UNIT.</t>
  </si>
  <si>
    <t>SOMMES TOT</t>
  </si>
  <si>
    <t>Nbre</t>
  </si>
  <si>
    <t>L</t>
  </si>
  <si>
    <t>l</t>
  </si>
  <si>
    <t>H</t>
  </si>
  <si>
    <t>MACONNERIES - BETONS - STRUCTURES</t>
  </si>
  <si>
    <t>MACONNERIES DE SOUTENEMENT ET SOUS-SOL</t>
  </si>
  <si>
    <t>1.15</t>
  </si>
  <si>
    <t>1.15.2</t>
  </si>
  <si>
    <t>1.11.11</t>
  </si>
  <si>
    <t>Matériaux</t>
  </si>
  <si>
    <t>1.11.12</t>
  </si>
  <si>
    <t>Maçonnerie portante et non portante bloc béton 14 cm</t>
  </si>
  <si>
    <t>1.27</t>
  </si>
  <si>
    <t>1.27.1</t>
  </si>
  <si>
    <t>1.27.2</t>
  </si>
  <si>
    <t>1.27.3</t>
  </si>
  <si>
    <t>REVETEMENTS EXTERIEURS</t>
  </si>
  <si>
    <t>1.24.3</t>
  </si>
  <si>
    <t>seuil pierre bleue</t>
  </si>
  <si>
    <t>1.27.4</t>
  </si>
  <si>
    <t>1.27.5</t>
  </si>
  <si>
    <t>1.27.7</t>
  </si>
  <si>
    <t>1.28</t>
  </si>
  <si>
    <t>BOIS</t>
  </si>
  <si>
    <t>3.2</t>
  </si>
  <si>
    <t>ELECTRICITE</t>
  </si>
  <si>
    <t>RECAPITULATIF</t>
  </si>
  <si>
    <t>TOTAL LOT 1 GROS-OEUVRE</t>
  </si>
  <si>
    <t>TOTAL LOT 2 PARACHEVEMENT DES SURFACES</t>
  </si>
  <si>
    <t>TOTAL GENERAL HTVA</t>
  </si>
  <si>
    <t>1.27.8</t>
  </si>
  <si>
    <t>1.29</t>
  </si>
  <si>
    <t>1.29.1</t>
  </si>
  <si>
    <t>Semelle de fondation et pied de gel voir ingénieur</t>
  </si>
  <si>
    <t xml:space="preserve">Remblais en sable stabilisé </t>
  </si>
  <si>
    <t>1.27.9</t>
  </si>
  <si>
    <t xml:space="preserve">Sable stabilisé ou couche de propreté </t>
  </si>
  <si>
    <t>1.27.10</t>
  </si>
  <si>
    <t>sable stabilisé ou béton de propreté - moyen de mise en oeuvre</t>
  </si>
  <si>
    <t>TVA</t>
  </si>
  <si>
    <t>TOTAL GENERAL TVAC</t>
  </si>
  <si>
    <t>charpente</t>
  </si>
  <si>
    <t>1.13.2</t>
  </si>
  <si>
    <t>1.13.3</t>
  </si>
  <si>
    <t>1.13.8</t>
  </si>
  <si>
    <t>1.13.9</t>
  </si>
  <si>
    <t>1.13.13</t>
  </si>
  <si>
    <t xml:space="preserve">déduction baie </t>
  </si>
  <si>
    <t>charpente métallique : ferme triangulée</t>
  </si>
  <si>
    <t xml:space="preserve">maçonnerie bloc béton mur NE </t>
  </si>
  <si>
    <t xml:space="preserve">maçonnerie bloc béton mur SE </t>
  </si>
  <si>
    <t>maçonnerie bloc béton mur SO</t>
  </si>
  <si>
    <t>maçonnerie bloc béton mur côté cour</t>
  </si>
  <si>
    <t xml:space="preserve">maçonnerie bloc béton mur arrière </t>
  </si>
  <si>
    <t>maçonnerie bloc béton mur pignon</t>
  </si>
  <si>
    <t>maçonnerie brique mur côté cour</t>
  </si>
  <si>
    <t>maçonnerie brique refends</t>
  </si>
  <si>
    <t xml:space="preserve">couverture toiture ardoise </t>
  </si>
  <si>
    <t xml:space="preserve">tête de mur latérale </t>
  </si>
  <si>
    <t>mur latéral</t>
  </si>
  <si>
    <t xml:space="preserve">Passage B13 niv 0 façade N-O - ouverture baie </t>
  </si>
  <si>
    <t xml:space="preserve">Passage B48  niv 0 façade cour - baie existante modifiée </t>
  </si>
  <si>
    <t>B28-29  niv 0 façade S-E - démolition allège et récupération seuil existant</t>
  </si>
  <si>
    <t>dalle de sol, épaisseur dalle inconnue</t>
  </si>
  <si>
    <t>tas de gravats inertes à enfouir</t>
  </si>
  <si>
    <t>couche de sable</t>
  </si>
  <si>
    <t>poteau métallique poutrelle en I, section 20 x 9,  h=540</t>
  </si>
  <si>
    <t xml:space="preserve">maçonnerie bloc béton arrière bâtiment </t>
  </si>
  <si>
    <t>déchets divers à trier (pierre, bois, plastique,…)</t>
  </si>
  <si>
    <t>maçonnerie bloc béton mur SE doublage mur</t>
  </si>
  <si>
    <t>maçonnerie bloc béton mur intérieur</t>
  </si>
  <si>
    <t xml:space="preserve">maçonnerie bloc béton pilier intérieur </t>
  </si>
  <si>
    <t xml:space="preserve">maçonnerie intérieure bloc béton, brique </t>
  </si>
  <si>
    <t>charpente et poteaux bois</t>
  </si>
  <si>
    <t xml:space="preserve">couverture toiture: plaques ondulées probablement en asbest ciment </t>
  </si>
  <si>
    <t xml:space="preserve">dalle de sol porcherie, épaisseur dalle inconnue </t>
  </si>
  <si>
    <t xml:space="preserve">voussettes </t>
  </si>
  <si>
    <t xml:space="preserve">fondations </t>
  </si>
  <si>
    <t xml:space="preserve">mangeoire </t>
  </si>
  <si>
    <t>mur refend 4 (au-dessus fissure)</t>
  </si>
  <si>
    <t>Zones de circulation chantier et chemin d'accès provisoire</t>
  </si>
  <si>
    <t>QP</t>
  </si>
  <si>
    <t>mètre courant</t>
  </si>
  <si>
    <t>mètre carré</t>
  </si>
  <si>
    <t>mètre cube</t>
  </si>
  <si>
    <t>Forfait tout compris pour le poste</t>
  </si>
  <si>
    <t>Etat des lieux : rapport photos par MO a contre signer par ENT.</t>
  </si>
  <si>
    <t>dalle de sol salle commune</t>
  </si>
  <si>
    <t xml:space="preserve">dalle de sol local technique </t>
  </si>
  <si>
    <t>STABILITE: voir métré stabilité</t>
  </si>
  <si>
    <t>à la pièce</t>
  </si>
  <si>
    <t xml:space="preserve">portes local technique </t>
  </si>
  <si>
    <t>portes salle commune</t>
  </si>
  <si>
    <t xml:space="preserve">local technique </t>
  </si>
  <si>
    <t>salle commune (dont hall logt 12)</t>
  </si>
  <si>
    <t>plancher poutrain/claveau</t>
  </si>
  <si>
    <t>bac à sable, mur courbe</t>
  </si>
  <si>
    <t xml:space="preserve">Maçonnerie portante bloc béton cellulaire hydro </t>
  </si>
  <si>
    <t>Boitiers prééquipés – en attente des compteurs</t>
  </si>
  <si>
    <t>Mise à la terre du circuit parties communes</t>
  </si>
  <si>
    <t>FLUIDES</t>
  </si>
  <si>
    <t>membrane anti-capilaire dont remontées incluses dans métré</t>
  </si>
  <si>
    <t>OUVERTURE DE BAIE</t>
  </si>
  <si>
    <t>acrotère toiture plate : L: sous châssis et latéralement</t>
  </si>
  <si>
    <t xml:space="preserve">Tout autre élément pour la bonne exécution des ouvrages </t>
  </si>
  <si>
    <t>Réception par organisme agréé</t>
  </si>
  <si>
    <r>
      <t>Pour Mémoire :</t>
    </r>
    <r>
      <rPr>
        <sz val="9"/>
        <color indexed="8"/>
        <rFont val="Geneva"/>
        <family val="2"/>
        <charset val="1"/>
      </rPr>
      <t xml:space="preserve"> non compris dans l'offre </t>
    </r>
  </si>
  <si>
    <r>
      <t>Quantité Présumée :</t>
    </r>
    <r>
      <rPr>
        <sz val="9"/>
        <color indexed="8"/>
        <rFont val="Geneva"/>
        <family val="2"/>
        <charset val="1"/>
      </rPr>
      <t xml:space="preserve"> L'Entreprise fait payer la quantité réellement placée,&lt; = ou &gt; à la quantité présumée</t>
    </r>
  </si>
  <si>
    <t>3.21</t>
  </si>
  <si>
    <t>3.20</t>
  </si>
  <si>
    <t>GENERALITES</t>
  </si>
  <si>
    <t>3.20.1</t>
  </si>
  <si>
    <t xml:space="preserve">Etudes à charge de l'entreprise </t>
  </si>
  <si>
    <t>3.21.1</t>
  </si>
  <si>
    <t>3.22</t>
  </si>
  <si>
    <t>3.22.1</t>
  </si>
  <si>
    <t>Racks support compteurs selon plan ORES,</t>
  </si>
  <si>
    <t>RECEPTION</t>
  </si>
  <si>
    <t>3.22.2</t>
  </si>
  <si>
    <t>3.22.3</t>
  </si>
  <si>
    <t>3.22.4</t>
  </si>
  <si>
    <t>3.22.5</t>
  </si>
  <si>
    <t>3.22.6</t>
  </si>
  <si>
    <t>Tableau commun  TRIPHASÉ</t>
  </si>
  <si>
    <t>3.22.7</t>
  </si>
  <si>
    <t>3 prises simples sur un disjoncteur</t>
  </si>
  <si>
    <t>3.22.8</t>
  </si>
  <si>
    <t>3.22.9</t>
  </si>
  <si>
    <t>Prise simple (pompe citerne)</t>
  </si>
  <si>
    <t xml:space="preserve">Prise simple extérieure </t>
  </si>
  <si>
    <t>3.22.10</t>
  </si>
  <si>
    <t>3.22.11</t>
  </si>
  <si>
    <t>Interrupteurs avec détection mouvement  points lumineux zenith</t>
  </si>
  <si>
    <t>3.22.12</t>
  </si>
  <si>
    <t>EQUIPEMENTS</t>
  </si>
  <si>
    <t>3.22.13</t>
  </si>
  <si>
    <t>Appareils d'éclairage zenith</t>
  </si>
  <si>
    <t>Phase</t>
  </si>
  <si>
    <t>locaux techniques et logt 1</t>
  </si>
  <si>
    <t>4 Prises simples chacune sur disjoncteur 20A séparé  (Pour travaux)</t>
  </si>
  <si>
    <t xml:space="preserve"> (et lignes suivantes) Enveloppe des postes toitures – terrasses – lucarnes</t>
  </si>
  <si>
    <t xml:space="preserve"> (et lignes suivantes) Enveloppe des postes abords et impétrants</t>
  </si>
  <si>
    <t xml:space="preserve"> (et lignes suivantes) Enveloppe budget global travaux généraux</t>
  </si>
  <si>
    <t xml:space="preserve"> (et lignes suivantes) Géré par le Maitre d'ouvrage</t>
  </si>
  <si>
    <t>TOUS</t>
  </si>
  <si>
    <t>en fonction réalisation plancher lot 12: phase 1 ou 2</t>
  </si>
  <si>
    <t>DEMOLITIONS - DEMONTAGES - EVACUATION</t>
  </si>
  <si>
    <t>MACONNERIES INTERIEURES ET EXTERIEURES</t>
  </si>
  <si>
    <t>1 et 2</t>
  </si>
  <si>
    <t>m2/QP</t>
  </si>
  <si>
    <t>1.24.4</t>
  </si>
  <si>
    <t>1.24.5</t>
  </si>
  <si>
    <t>Démolition et évacuation totale hangar 1, comprenant (à titre indicatif):</t>
  </si>
  <si>
    <t>Démolition et évacuation totale hangar 2, comprenant (à titre indicatif):</t>
  </si>
  <si>
    <t>Démolition et évacuation totale hangar 3, comprenant (à titre indicatif):</t>
  </si>
  <si>
    <t>Démontage et évacuation menuiseries extérieures: B1 double porte entrée grange niv 0</t>
  </si>
  <si>
    <t>Nettoyage des maçonneries: évacuation des plantes et autres éléments</t>
  </si>
  <si>
    <t>Toutes les dimensions des câbles sont données à titre indicatifs, elles doivent être confirmées et sous la responsabilité de l'entreprise.</t>
  </si>
  <si>
    <r>
      <t xml:space="preserve">Compteurs triphasé – </t>
    </r>
    <r>
      <rPr>
        <sz val="8"/>
        <rFont val="Geneva"/>
        <family val="2"/>
        <charset val="1"/>
      </rPr>
      <t xml:space="preserve">TOUS COMMUNS </t>
    </r>
    <r>
      <rPr>
        <sz val="9"/>
        <rFont val="Geneva"/>
        <family val="2"/>
        <charset val="1"/>
      </rPr>
      <t xml:space="preserve">dont salle commune </t>
    </r>
  </si>
  <si>
    <t>Compteurs monophasé – 17 lots</t>
  </si>
  <si>
    <t xml:space="preserve">Compteur triphasé 400A pour chargement véhicules </t>
  </si>
  <si>
    <t>Grange niv 0  - ouverture baie vers lot 12</t>
  </si>
  <si>
    <t>1.21.1</t>
  </si>
  <si>
    <t>1.21.4</t>
  </si>
  <si>
    <t>1.21.5</t>
  </si>
  <si>
    <t>1.21.6</t>
  </si>
  <si>
    <t>murs entre salle commune et logt 11 (de niv. -0.97 à + 2.31)</t>
  </si>
  <si>
    <t>murs entre salle commune et logt 12 (de niv. -0.97 à + 2.31)</t>
  </si>
  <si>
    <t xml:space="preserve">pied de murs entre salle commune et logt 11 </t>
  </si>
  <si>
    <t xml:space="preserve">pied de murs entre salle commune et logt 12 </t>
  </si>
  <si>
    <t xml:space="preserve">pied de murs salle commune refend 2 </t>
  </si>
  <si>
    <t>murs salle commune refend 2 (de niv. -0.97 à + 4.06)</t>
  </si>
  <si>
    <t>murs mitoyen lot 7 et lot 8 dans passage</t>
  </si>
  <si>
    <t>murs mitoyen entre loc tech et lot 1</t>
  </si>
  <si>
    <t xml:space="preserve">dalle de sol, voir stabilité </t>
  </si>
  <si>
    <t xml:space="preserve">murs dans loc tech </t>
  </si>
  <si>
    <t>les déblais pour fondation côté cour et côté jardin sont comptés dans les démolitions des baies B13 et B48</t>
  </si>
  <si>
    <t>1.13.6</t>
  </si>
  <si>
    <t>1.13.7</t>
  </si>
  <si>
    <t>Démolition - démontage et évacuation vousettes: lot 1 et loc tech</t>
  </si>
  <si>
    <t>m3/QP</t>
  </si>
  <si>
    <t>dalle de sol local technique : voir démolition dalle de sol</t>
  </si>
  <si>
    <t>rampe d'accès jardin partie jardin</t>
  </si>
  <si>
    <t xml:space="preserve">rampe d'accès jardin partie passage: voir démolition dalle </t>
  </si>
  <si>
    <t>1.15.1</t>
  </si>
  <si>
    <t>fondations dalle de sol salle commune: poutre latérale (puits)</t>
  </si>
  <si>
    <t>fondations dalle de sol salle commune: surprofondeur 12.A</t>
  </si>
  <si>
    <t>fondations dalle de sol salle commune: poutre PF-12.B</t>
  </si>
  <si>
    <t>fondations dalle de sol salle commune: surprofondeur 12.B</t>
  </si>
  <si>
    <t>fondation mur courbe pierre</t>
  </si>
  <si>
    <t>1.23.2</t>
  </si>
  <si>
    <t>Protection provisoire des maçonneries au droit des dep par fourreau</t>
  </si>
  <si>
    <t>rampe béton passage vers jardin, finition brossée: voir stabilité</t>
  </si>
  <si>
    <t>escalier béton vers logt 12 voir stabilité</t>
  </si>
  <si>
    <t>Isolant en fond de coffrage: inclus dans les postes concernés</t>
  </si>
  <si>
    <t>déduction trémie lot 1</t>
  </si>
  <si>
    <t>déduction trémie lot 12</t>
  </si>
  <si>
    <t>dalle de compression pour poutrain/claveau voir stabilité</t>
  </si>
  <si>
    <t>1.29.2</t>
  </si>
  <si>
    <t>1.14</t>
  </si>
  <si>
    <t>1.14.2</t>
  </si>
  <si>
    <t>1.14.3</t>
  </si>
  <si>
    <t>1.27.6</t>
  </si>
  <si>
    <r>
      <rPr>
        <u/>
        <sz val="9"/>
        <color indexed="8"/>
        <rFont val="Geneva"/>
        <family val="2"/>
        <charset val="1"/>
      </rPr>
      <t>Inclus:</t>
    </r>
    <r>
      <rPr>
        <sz val="9"/>
        <color indexed="8"/>
        <rFont val="Geneva"/>
        <family val="2"/>
        <charset val="1"/>
      </rPr>
      <t xml:space="preserve"> prix du poste inclus dans l'offre</t>
    </r>
  </si>
  <si>
    <t>Toutes les quantités sont forfaitaires sauf s'il est clairement indiqué que la quantité est présumée (QP): L'Entreprise ne peut facturer que cette quantité, qu'elle soit &lt;, = ou &gt; à la quantité du métré</t>
  </si>
  <si>
    <t>Raccordements définitifs (à charge Maître de l'Ouvrage)</t>
  </si>
  <si>
    <t xml:space="preserve">mur refend 2 intérieur grange niv 0 </t>
  </si>
  <si>
    <t xml:space="preserve">mur pour fondation rampe côté cour dans passage </t>
  </si>
  <si>
    <t>Démolition et évacuation maçonnerie terre cuite</t>
  </si>
  <si>
    <t xml:space="preserve">dalle de sol dans passage partie côté cour </t>
  </si>
  <si>
    <t xml:space="preserve">dalle de sol dans passage  partie côté jardin </t>
  </si>
  <si>
    <t>Certaines quantités sont données à titre indicatif mais n'ont pas pu être vérifiées sur place. L'entrepreneur peut effectuer les sondages qu'il souhaite, à ses frais.</t>
  </si>
  <si>
    <t>Démolition et évacuation dalle béton</t>
  </si>
  <si>
    <t xml:space="preserve">Démontage et évacuation poutre bois </t>
  </si>
  <si>
    <t xml:space="preserve">Déblais pour dalle de sol </t>
  </si>
  <si>
    <t>Déblais pour pied de gel et fondations</t>
  </si>
  <si>
    <t xml:space="preserve">fondation 2 murs mitoyens dans passage </t>
  </si>
  <si>
    <t>fondations 2 murs mitoyens local technique</t>
  </si>
  <si>
    <t xml:space="preserve">remblais sous rampe passage </t>
  </si>
  <si>
    <t>remblais non prévu</t>
  </si>
  <si>
    <t>remblais sous mur courbe en pierre</t>
  </si>
  <si>
    <t>Ragréage des maçonneries en brique similaire à l'existant</t>
  </si>
  <si>
    <t xml:space="preserve">Déjointoyage et rejointoyage des maçonneries de parement </t>
  </si>
  <si>
    <t xml:space="preserve">linteaux coulés pour ouverture de baie: voir stabilité </t>
  </si>
  <si>
    <t>TOTAL LOT 3 FLUIDES</t>
  </si>
  <si>
    <t>TOTAL LOT 9 ABORDS</t>
  </si>
  <si>
    <t>fermeture temporaire par panneaux osb : double porte grange</t>
  </si>
  <si>
    <t>fermeture temporaire par panneaux osb : simple porte locaux techniques</t>
  </si>
  <si>
    <t>Mur en pierre de récupération fouille archéo. sur l'ancienne église.</t>
  </si>
  <si>
    <t>1 ou 2</t>
  </si>
  <si>
    <t>1.14.9</t>
  </si>
  <si>
    <t>Pieux PX-12. A à J</t>
  </si>
  <si>
    <t>Assurance décénale</t>
  </si>
  <si>
    <t>Hors entreprise - A charge MO</t>
  </si>
  <si>
    <t>Poutres et achelets compris en stabilité</t>
  </si>
  <si>
    <t>QP m2</t>
  </si>
  <si>
    <r>
      <rPr>
        <b/>
        <sz val="9"/>
        <color rgb="FF0000FF"/>
        <rFont val="Geneva"/>
        <family val="2"/>
      </rPr>
      <t>QP</t>
    </r>
    <r>
      <rPr>
        <sz val="9"/>
        <rFont val="Geneva"/>
        <family val="2"/>
        <charset val="1"/>
      </rPr>
      <t xml:space="preserve"> m3</t>
    </r>
  </si>
  <si>
    <r>
      <rPr>
        <b/>
        <sz val="9"/>
        <color rgb="FF0000FF"/>
        <rFont val="Geneva"/>
        <family val="2"/>
      </rPr>
      <t xml:space="preserve">QP </t>
    </r>
    <r>
      <rPr>
        <sz val="9"/>
        <rFont val="Geneva"/>
        <family val="2"/>
        <charset val="1"/>
      </rPr>
      <t>pc</t>
    </r>
  </si>
  <si>
    <r>
      <rPr>
        <b/>
        <sz val="9"/>
        <color rgb="FF0000FF"/>
        <rFont val="Geneva"/>
        <family val="2"/>
      </rPr>
      <t xml:space="preserve">QP </t>
    </r>
    <r>
      <rPr>
        <sz val="9"/>
        <rFont val="Geneva"/>
        <family val="2"/>
        <charset val="1"/>
      </rPr>
      <t>m2</t>
    </r>
  </si>
  <si>
    <r>
      <rPr>
        <b/>
        <sz val="9"/>
        <color rgb="FF0000FF"/>
        <rFont val="Geneva"/>
        <family val="2"/>
      </rPr>
      <t>QP</t>
    </r>
    <r>
      <rPr>
        <sz val="9"/>
        <rFont val="Geneva"/>
        <family val="2"/>
        <charset val="1"/>
      </rPr>
      <t xml:space="preserve"> mct</t>
    </r>
  </si>
  <si>
    <t>SAJ</t>
  </si>
  <si>
    <t>Rectobeton - pose simple 16+4</t>
  </si>
  <si>
    <t>QP m3</t>
  </si>
  <si>
    <t>QP kg</t>
  </si>
  <si>
    <t>treillis pour dito</t>
  </si>
  <si>
    <t>QP m1</t>
  </si>
  <si>
    <t>QP pce</t>
  </si>
  <si>
    <t>Option</t>
  </si>
  <si>
    <t>STABILITE</t>
  </si>
  <si>
    <t>Lot 0</t>
  </si>
  <si>
    <t>PF-0.A</t>
  </si>
  <si>
    <t>PF-0.B</t>
  </si>
  <si>
    <t>PF-0.C</t>
  </si>
  <si>
    <t>Poutres de fondation</t>
  </si>
  <si>
    <t>Béton de propreté sous dito</t>
  </si>
  <si>
    <t>Coffrage pour dito</t>
  </si>
  <si>
    <t>0.01</t>
  </si>
  <si>
    <t>0.02</t>
  </si>
  <si>
    <t>Ds-0.A</t>
  </si>
  <si>
    <t>Ds-0.B</t>
  </si>
  <si>
    <t>Dalle de sol</t>
  </si>
  <si>
    <t>Acier pour dito - barres</t>
  </si>
  <si>
    <t>Acier pour dito - treillis</t>
  </si>
  <si>
    <t>Cf onglet stabilité</t>
  </si>
  <si>
    <t>Epaisseur 5 cm</t>
  </si>
  <si>
    <t>0.03</t>
  </si>
  <si>
    <t>Poutres métalliques</t>
  </si>
  <si>
    <t>P0-0.A</t>
  </si>
  <si>
    <t>P0-0.B</t>
  </si>
  <si>
    <t>Nous ajoutons 15 + pour les assemblages</t>
  </si>
  <si>
    <t>0.04</t>
  </si>
  <si>
    <t>Poutres en béton</t>
  </si>
  <si>
    <t>0.05</t>
  </si>
  <si>
    <t>Achelet</t>
  </si>
  <si>
    <t>Lot 12</t>
  </si>
  <si>
    <t>12.01</t>
  </si>
  <si>
    <t>12.02</t>
  </si>
  <si>
    <t>Radier-12.A</t>
  </si>
  <si>
    <t>PF-12.A</t>
  </si>
  <si>
    <t>PF-12.B</t>
  </si>
  <si>
    <t>Surprofondeur-12.A</t>
  </si>
  <si>
    <t>Surprofondeur-12.B</t>
  </si>
  <si>
    <t>12.04</t>
  </si>
  <si>
    <t>P0-12.A</t>
  </si>
  <si>
    <t>P0-12.E</t>
  </si>
  <si>
    <t>12.03</t>
  </si>
  <si>
    <t>P0-12.B</t>
  </si>
  <si>
    <t>P0-12.C2</t>
  </si>
  <si>
    <t>P0-12.C1</t>
  </si>
  <si>
    <t>P0-12.D</t>
  </si>
  <si>
    <t>12.05</t>
  </si>
  <si>
    <t>Ach0-0.B</t>
  </si>
  <si>
    <t>Ach0-12.A</t>
  </si>
  <si>
    <t>Ach0-12.B</t>
  </si>
  <si>
    <t>Ach0-12.D</t>
  </si>
  <si>
    <t>12.06</t>
  </si>
  <si>
    <t>Colonnes en béton</t>
  </si>
  <si>
    <t>Colonnes métalliques</t>
  </si>
  <si>
    <t>C0-12.C</t>
  </si>
  <si>
    <t>C0-12.A</t>
  </si>
  <si>
    <t>C0-12.B</t>
  </si>
  <si>
    <t>C0-12.D</t>
  </si>
  <si>
    <t>12.07</t>
  </si>
  <si>
    <t>Escalier en béton coulé en place</t>
  </si>
  <si>
    <t>QP marche</t>
  </si>
  <si>
    <t>Esc0-12.A</t>
  </si>
  <si>
    <t>Encoches dans maçonnerie pour radier</t>
  </si>
  <si>
    <t>Total HTVA</t>
  </si>
  <si>
    <t>Uniquement les communs</t>
  </si>
  <si>
    <t>Compris dans le poste 3.22.2</t>
  </si>
  <si>
    <t>A charge du MO:
 - Assurance tout risque chantier
 - Coordinateur sécurité-santé
 - Raccordements provisoires et définitifs aux régies
 - Consommations en eau et électricité
 - Frais de réservation et voirie
 - Frais relatifs à Walterre</t>
  </si>
  <si>
    <t>échafaudage: montage, démontage et 1er mois de location</t>
  </si>
  <si>
    <t>échafaudage: mois supplémentaire de location</t>
  </si>
  <si>
    <t>ff</t>
  </si>
  <si>
    <t>Container pour évacuation des déchets</t>
  </si>
  <si>
    <t xml:space="preserve">Hydrosablage ou aerogomage </t>
  </si>
  <si>
    <t>GOUTTIÈRE DEMI-RONDE - DROITE 420MM + BAVETTE ANTHRA-ZINC® 0.8MM</t>
  </si>
  <si>
    <t>Supplément pour élimination de l'amiante en décharge agréée</t>
  </si>
  <si>
    <t xml:space="preserve">Hors entreprise voir gestionnaire réseau </t>
  </si>
  <si>
    <r>
      <t xml:space="preserve">Notre installation de chantier comprend: l'installation et le replis du chantier, les bureaux de chantier installés dans le bâtiment, les sanitaires de chantier, le nettoyage pendant le chantier, </t>
    </r>
    <r>
      <rPr>
        <b/>
        <strike/>
        <sz val="9"/>
        <color rgb="FF99FF99"/>
        <rFont val="Geneva"/>
        <family val="2"/>
      </rPr>
      <t>la fermeture du site par barrières de type Héras</t>
    </r>
    <r>
      <rPr>
        <b/>
        <sz val="9"/>
        <color rgb="FF0000FF"/>
        <rFont val="Geneva"/>
        <family val="2"/>
      </rPr>
      <t>, le checking @ work, un tableau électrique provisoire et des chapelles et la sécurité sur chantier.</t>
    </r>
  </si>
  <si>
    <t>Tome 1</t>
  </si>
  <si>
    <t>Installation de chantier</t>
  </si>
  <si>
    <t>échafaudage, étançonnement divers, grue et nasselle</t>
  </si>
  <si>
    <t>fft</t>
  </si>
  <si>
    <t>Tome 2</t>
  </si>
  <si>
    <t>Démolition de la toiture existante</t>
  </si>
  <si>
    <t>démolition de la toiture existante, y compris évacuation et évacuation de l'ardoise-amiante</t>
  </si>
  <si>
    <t>démolition de la maçonnerie, surface des murs poussée par la toiture (sans évacuation, gravas stockés sur place)</t>
  </si>
  <si>
    <t>Tome 3</t>
  </si>
  <si>
    <t>Maçonneries d'élévation</t>
  </si>
  <si>
    <t>maçonnerie en briques, identique à l'existant</t>
  </si>
  <si>
    <t>poutre de ceinture en béton armé, compris ferraillage et coffrage</t>
  </si>
  <si>
    <t>Tome 4</t>
  </si>
  <si>
    <t>Travaux de toiture, charpenterie</t>
  </si>
  <si>
    <t>ferme de charpente, structure 10x30, 10x23x 7x18</t>
  </si>
  <si>
    <t>pannes - lamellé-collé 14x30</t>
  </si>
  <si>
    <t>pannes - lamellé-collé 16x40</t>
  </si>
  <si>
    <t>chevrons 3,5x15</t>
  </si>
  <si>
    <t>sous-toiture souple</t>
  </si>
  <si>
    <t xml:space="preserve">Divers éléments constructifs et des liaisons-sablières, traverses, accessoires des fixations.  </t>
  </si>
  <si>
    <t>Structure pour ardoise, voliges+ Ardoises  Eternit</t>
  </si>
  <si>
    <t>Planches de rives, murs façades et mur pignon</t>
  </si>
  <si>
    <t>Evacuation des eaux de toiture- Gouttière demie lune en zinc</t>
  </si>
  <si>
    <t>Tuyaux de descente -Zinc naturel section ronde 100 mm</t>
  </si>
  <si>
    <t>Tirant acier D16, avec plats d'abouts en façade</t>
  </si>
  <si>
    <t>Lattage et contre-lattage</t>
  </si>
  <si>
    <t>Compris dans l'installation générale de chantier</t>
  </si>
  <si>
    <t>supplément pour élimination de l'amiante en décharge agrée</t>
  </si>
  <si>
    <t>coffrage pour dito</t>
  </si>
  <si>
    <t>acier pour dito - barres</t>
  </si>
  <si>
    <t>Nous changeons la quantité pour adapter par rapport à l'étude stabilité (P2-12.A et P2-12.B)</t>
  </si>
  <si>
    <t>colonnes en béton C2-12.A et C2-12.B</t>
  </si>
  <si>
    <t>ventrière lamellé-collé 10x36</t>
  </si>
  <si>
    <t>Selon étude stabilité</t>
  </si>
  <si>
    <t>ventrière lamellé-collé 14x36</t>
  </si>
  <si>
    <t>faitière lamellé-collé 10x44</t>
  </si>
  <si>
    <t>faitière lamellé-collé 14x44</t>
  </si>
  <si>
    <t>ancrage de la cloison M12 @40 cm</t>
  </si>
  <si>
    <t>double SRN 7/15 pour chevêtre fenêtre de toiture</t>
  </si>
  <si>
    <t>SRN 10/30</t>
  </si>
  <si>
    <t>SRN 7/18</t>
  </si>
  <si>
    <t>SRN 8/23</t>
  </si>
  <si>
    <t>A faire en même temps que la cloison - Cloison non compris</t>
  </si>
  <si>
    <t>Compris dans les prix unitaires</t>
  </si>
  <si>
    <t>TOITURE GRANGE HTVA</t>
  </si>
  <si>
    <t>Lot 1</t>
  </si>
  <si>
    <t>PF-1.A</t>
  </si>
  <si>
    <t>Ds-1.A</t>
  </si>
  <si>
    <t>P0-1.A</t>
  </si>
  <si>
    <t>P0-1.B</t>
  </si>
  <si>
    <t>P0-1.C</t>
  </si>
  <si>
    <t>P0-1.D</t>
  </si>
  <si>
    <t>Ach0-1.A</t>
  </si>
  <si>
    <t>Ach0-1.B</t>
  </si>
  <si>
    <t>Ach0-1.C</t>
  </si>
  <si>
    <t>Ach0-1.D</t>
  </si>
  <si>
    <t>P1-1.A</t>
  </si>
  <si>
    <t>P1-1.B</t>
  </si>
  <si>
    <t>P1-1.C</t>
  </si>
  <si>
    <t>Ach1-1.A</t>
  </si>
  <si>
    <t>Ach1-1.B</t>
  </si>
  <si>
    <t>Ach1-1.C</t>
  </si>
  <si>
    <t>P2-1.A1</t>
  </si>
  <si>
    <t>P2-1.A2</t>
  </si>
  <si>
    <t>P2-1.B</t>
  </si>
  <si>
    <t>P2-1.C</t>
  </si>
  <si>
    <t>Boîte d'encastrement cf plans stab</t>
  </si>
  <si>
    <t>Gîtes</t>
  </si>
  <si>
    <t>OSB pour fermeture de chaque côté de la cloison</t>
  </si>
  <si>
    <t>Remplissage entre gites par laine minérale</t>
  </si>
  <si>
    <t>TOTAL GENERAL HTVA y compris escompte</t>
  </si>
  <si>
    <t>IC phase 1</t>
  </si>
  <si>
    <t>Container pour évacuation des déchets phase 1</t>
  </si>
  <si>
    <t>échafaudage: montage, démontage et 1er mois de location - phase 1</t>
  </si>
  <si>
    <t>échafaudage: mois supplémentaire de location - phase 1</t>
  </si>
  <si>
    <t>Assurance décénale - phase 1</t>
  </si>
  <si>
    <t>7/18 sous réserve de l'ingénieur</t>
  </si>
  <si>
    <t>Cloisons en trapèze sous pièce de charpente</t>
  </si>
  <si>
    <t>Poutre de ceinture en béton sur têtes de murs  - coffrage</t>
  </si>
  <si>
    <t>Poutre de ceinture en béton sur têtes de murs - acier</t>
  </si>
  <si>
    <t>Poutre de ceinture en béton sur têtes de murs - béton</t>
  </si>
  <si>
    <t>lambda 0,35</t>
  </si>
  <si>
    <t>Escompte de 2% pour payement rapide 5 jours</t>
  </si>
  <si>
    <t>Toiture grange 12</t>
  </si>
  <si>
    <r>
      <rPr>
        <b/>
        <sz val="9"/>
        <color rgb="FF0000FF"/>
        <rFont val="Geneva"/>
        <family val="2"/>
      </rPr>
      <t xml:space="preserve">QP </t>
    </r>
    <r>
      <rPr>
        <b/>
        <sz val="9"/>
        <rFont val="Geneva"/>
        <family val="2"/>
        <charset val="1"/>
      </rPr>
      <t>m2</t>
    </r>
  </si>
  <si>
    <t>toiture logt 2 et 3</t>
  </si>
  <si>
    <t>toiture logt 4</t>
  </si>
  <si>
    <t>toiture logt 6</t>
  </si>
  <si>
    <t>toiture logt 7</t>
  </si>
  <si>
    <t>Rive toiture grange 12</t>
  </si>
  <si>
    <r>
      <rPr>
        <b/>
        <sz val="9"/>
        <color rgb="FF0000FF"/>
        <rFont val="Geneva"/>
        <family val="2"/>
      </rPr>
      <t xml:space="preserve">QP </t>
    </r>
    <r>
      <rPr>
        <b/>
        <sz val="9"/>
        <rFont val="Geneva"/>
        <family val="2"/>
        <charset val="1"/>
      </rPr>
      <t>m1</t>
    </r>
  </si>
  <si>
    <r>
      <rPr>
        <b/>
        <sz val="9"/>
        <color rgb="FF0000FF"/>
        <rFont val="Geneva"/>
        <family val="2"/>
      </rPr>
      <t>QP</t>
    </r>
    <r>
      <rPr>
        <b/>
        <sz val="9"/>
        <rFont val="Geneva"/>
        <family val="2"/>
      </rPr>
      <t xml:space="preserve"> mct</t>
    </r>
  </si>
  <si>
    <t>Faîte toiture grange 12</t>
  </si>
  <si>
    <t>X</t>
  </si>
  <si>
    <t>Evacuation des eaux de toiture- Gouttière demie lune en zinc - Toiture grange</t>
  </si>
  <si>
    <t>manque terrasse de toiture</t>
  </si>
  <si>
    <t>Tuyaux de descente -Zinc naturel section ronde 100 mm - Toiture grange</t>
  </si>
  <si>
    <t>ok</t>
  </si>
  <si>
    <t>Espace avant lot 12</t>
  </si>
  <si>
    <t>mis en SE03 sur plans</t>
  </si>
  <si>
    <t>compris</t>
  </si>
  <si>
    <t>Nous diminuons la quantité de toiture mais ajoutons le faîtage</t>
  </si>
  <si>
    <t>Faîtières en faitières Cedral</t>
  </si>
  <si>
    <t>mauvaise répartition de ma part: total des 2 postes ok</t>
  </si>
  <si>
    <t>Entrée privéedu lot 1 à retirer</t>
  </si>
  <si>
    <t>partie asphaltée</t>
  </si>
  <si>
    <t>Mis en laissé en place sur plan mais pas présents actuellement</t>
  </si>
  <si>
    <t xml:space="preserve"> m3</t>
  </si>
  <si>
    <t>kg</t>
  </si>
  <si>
    <r>
      <rPr>
        <b/>
        <sz val="9"/>
        <color rgb="FF0000FF"/>
        <rFont val="Geneva"/>
        <family val="2"/>
      </rPr>
      <t xml:space="preserve"> </t>
    </r>
    <r>
      <rPr>
        <sz val="9"/>
        <rFont val="Geneva"/>
        <family val="2"/>
        <charset val="1"/>
      </rPr>
      <t>pc</t>
    </r>
  </si>
  <si>
    <t>pce</t>
  </si>
  <si>
    <t>m1</t>
  </si>
  <si>
    <t xml:space="preserve"> m2</t>
  </si>
  <si>
    <t xml:space="preserve"> m1</t>
  </si>
  <si>
    <t xml:space="preserve"> pce</t>
  </si>
  <si>
    <t>tout est compté dans ce poste</t>
  </si>
  <si>
    <t>Ds-0.B: complément extérieur</t>
  </si>
  <si>
    <t>Nous ajoutons la partie extérieure de la dalle du porche</t>
  </si>
  <si>
    <t>Brossage dalle porche vélo</t>
  </si>
  <si>
    <t xml:space="preserve"> - Etat des lieux </t>
  </si>
  <si>
    <t xml:space="preserve"> - Recollement </t>
  </si>
  <si>
    <t xml:space="preserve">FRANKIE  Pieux </t>
  </si>
  <si>
    <t xml:space="preserve">Pas d'escompte sur la partie pieux </t>
  </si>
  <si>
    <t>Nous ajoutons 15 % pour les assemblages</t>
  </si>
  <si>
    <t>Renforts charpente 1-11</t>
  </si>
  <si>
    <t>mois</t>
  </si>
  <si>
    <t xml:space="preserve"> mois</t>
  </si>
  <si>
    <t>TOTAL %</t>
  </si>
  <si>
    <t>TOTAL</t>
  </si>
  <si>
    <t>EA1%</t>
  </si>
  <si>
    <t>EA2%</t>
  </si>
  <si>
    <t>EA3%</t>
  </si>
  <si>
    <t>EA4%</t>
  </si>
  <si>
    <t>EA5%</t>
  </si>
  <si>
    <t>EA6%</t>
  </si>
  <si>
    <t>TOTAL en cours Htva</t>
  </si>
  <si>
    <t>Déjà facturé</t>
  </si>
  <si>
    <t>EA6 facture 20240</t>
  </si>
  <si>
    <t>EA5 facture 20240</t>
  </si>
  <si>
    <t>A Facturer</t>
  </si>
  <si>
    <t>Poste réalisé</t>
  </si>
  <si>
    <t>PF- 0.A</t>
  </si>
  <si>
    <t>PF- 0 E</t>
  </si>
  <si>
    <t>PF - O F</t>
  </si>
  <si>
    <t>surprofondeur mur mitoyen entre loc tech et lot 1</t>
  </si>
  <si>
    <t>cf soucis plan ingénieur</t>
  </si>
  <si>
    <t>surprofondeur mur loc tech</t>
  </si>
  <si>
    <t>PF- 0.A - Supplément de béton</t>
  </si>
  <si>
    <t>Pas de supplément de coffrage par rapport à la base</t>
  </si>
  <si>
    <t>Couverture de toiture en ardoise : voir prescriptions en annexe</t>
  </si>
  <si>
    <t>livré sur chantier</t>
  </si>
  <si>
    <t>Avenant 1</t>
  </si>
  <si>
    <t>Selon mais du 27/06/2024 à 16h57</t>
  </si>
  <si>
    <t>Criblage des terres</t>
  </si>
  <si>
    <t>Container et évacuation</t>
  </si>
  <si>
    <t>1.</t>
  </si>
  <si>
    <t>Criblage du tas de terre non ré-étalé par Véronique des fouilles archéologiques</t>
  </si>
  <si>
    <t>2.</t>
  </si>
  <si>
    <t>Foin étage grange lot 0 "technique" - lot 1</t>
  </si>
  <si>
    <t>Evacuation par camion</t>
  </si>
  <si>
    <t>Selon mais du 13/06/2024 à 15h24</t>
  </si>
  <si>
    <t>Epinglages de murs</t>
  </si>
  <si>
    <t>Couturage intérieurs sur murs plans</t>
  </si>
  <si>
    <t>Couturages intérieurs d'angle</t>
  </si>
  <si>
    <t>Achelets pour nouvelles faîtière et ventrière dans haut pignon</t>
  </si>
  <si>
    <t>Avenant 2</t>
  </si>
  <si>
    <t>Doit passer dans phase 2</t>
  </si>
  <si>
    <t>porche</t>
  </si>
  <si>
    <t>PF-0.B retirée suite plans ing avec prolongation dalle porche</t>
  </si>
  <si>
    <t>Nouveau Caniveau :</t>
  </si>
  <si>
    <t xml:space="preserve">Fourniture et pose d'un caniveau linaire de type Euroline 100, grille B 115,  y compris désableur </t>
  </si>
  <si>
    <t>Tuyau de raccordement au réseau d'égouttage de la cours</t>
  </si>
  <si>
    <t>QP mct</t>
  </si>
  <si>
    <t>Colombier :</t>
  </si>
  <si>
    <t>Tirant : 2 x M12 acier noir de 3,0 m et 2 x M12 acier noir de 3,39 m</t>
  </si>
  <si>
    <t>Décapage de 2 voutes intérieur au RO colombier et rejointoyage</t>
  </si>
  <si>
    <t>Suppression des 2 linteaux intérieurs des portes avant et arrière du colombier + nouveaux linteau (baies de 90 cm)</t>
  </si>
  <si>
    <t>Appentis côté lot 12 :</t>
  </si>
  <si>
    <t>Rejointoyage intérieur des blocs laissés apparents</t>
  </si>
  <si>
    <t>Déjointoyage et rejointoyage des maçonneries de parement extérieures</t>
  </si>
  <si>
    <t>Câble électrique lot 16 - 17</t>
  </si>
  <si>
    <t>EXVB 4x10</t>
  </si>
  <si>
    <t>EXVB 4x16</t>
  </si>
  <si>
    <t>1.0</t>
  </si>
  <si>
    <t>Diam 110-125</t>
  </si>
  <si>
    <t>Pose de 1 linteau coté intérieur par baie</t>
  </si>
  <si>
    <t>Pour phase 2</t>
  </si>
  <si>
    <t xml:space="preserve">Total </t>
  </si>
  <si>
    <t>TVA Cocontractant</t>
  </si>
  <si>
    <t>AVENANT 2 - DV 20240828</t>
  </si>
  <si>
    <t>Avenant 3</t>
  </si>
  <si>
    <t>AVENANT 3 - Postes de la phase 1 devant passer dans la phase 2</t>
  </si>
  <si>
    <t>AVENANT 3 - Postes de la phase 2 devant passer dans la phase 1</t>
  </si>
  <si>
    <t>2.0</t>
  </si>
  <si>
    <t>3.0</t>
  </si>
  <si>
    <t>Postes non prévus et devant être ajouté</t>
  </si>
  <si>
    <t>Complément acier PF-0.A - cf bordeau du 10-07-2024</t>
  </si>
  <si>
    <t>PF-0.D</t>
  </si>
  <si>
    <t>béton</t>
  </si>
  <si>
    <t>coffage</t>
  </si>
  <si>
    <t>acier - barres</t>
  </si>
  <si>
    <t>acier - treillis</t>
  </si>
  <si>
    <t>PF - 0 F</t>
  </si>
  <si>
    <t>DS - 0.A</t>
  </si>
  <si>
    <t>béton de propreté</t>
  </si>
  <si>
    <t>Complément acier Ds-0.B - cf bordeau du 10-07-2024</t>
  </si>
  <si>
    <t>Remplacé par Ds-0.C et Ds-0.D</t>
  </si>
  <si>
    <t>Ds-0.C</t>
  </si>
  <si>
    <t>Ds-0.D</t>
  </si>
  <si>
    <t>C0-0.A</t>
  </si>
  <si>
    <t>C0-0.B</t>
  </si>
  <si>
    <t>Poutre GBA 14x19 - 230 cm de longueur</t>
  </si>
  <si>
    <t>Supprimé et remplacé par PF-0.A</t>
  </si>
  <si>
    <t>4.0</t>
  </si>
  <si>
    <t>AVENANT 3 - Postes de la phase 1 devant passer dans la phase 3</t>
  </si>
  <si>
    <t>Ds-0.B: complément extérieur retirée suite plans ing avec prolongation dalle porche</t>
  </si>
  <si>
    <t>Brossage dalle porche vélo - quantité supplémentaire prolongation dalle</t>
  </si>
  <si>
    <t>Pour Ds-0.C et Ds-0.D</t>
  </si>
  <si>
    <t>Doit passer dans phase 3</t>
  </si>
  <si>
    <t>Stab lot 0</t>
  </si>
  <si>
    <t>Stab lot 1</t>
  </si>
  <si>
    <t>Stab lot 12</t>
  </si>
  <si>
    <t>Aurait dû être dans phase 2 mais doit être fait</t>
  </si>
  <si>
    <t>pignon</t>
  </si>
  <si>
    <t>ouverture lot 12</t>
  </si>
  <si>
    <t>P1-12.B - HEA 200</t>
  </si>
  <si>
    <t>Achelets pour P1-12.B</t>
  </si>
  <si>
    <t>Lot 12: colonne de renfort mur de refend conservé</t>
  </si>
  <si>
    <t>C1-12.B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</si>
  <si>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</si>
  <si>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</si>
  <si>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</si>
  <si>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</si>
  <si>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</si>
  <si>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</si>
  <si>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</si>
  <si>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</si>
  <si>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4.2</t>
  </si>
  <si>
    <t>Déjà compris dans le bordereau stab</t>
  </si>
  <si>
    <t>Grange B3  niv 0  - démolition baie existante murée: voir STAB (-1.25 à +4.15)</t>
  </si>
  <si>
    <t>4.1.8</t>
  </si>
  <si>
    <t>4.1.9</t>
  </si>
  <si>
    <t>4.1.10</t>
  </si>
  <si>
    <t>Membrane anti-capilaire dont remontées incluses dans métré</t>
  </si>
  <si>
    <t>Démolition muret en béton</t>
  </si>
  <si>
    <t>Terrassement pour réalisation PF-0.D</t>
  </si>
  <si>
    <t>4.1.11</t>
  </si>
  <si>
    <t>Remblais pour récupération des hauteurs avec gravats issus des démolitions</t>
  </si>
  <si>
    <t>4.2.1</t>
  </si>
  <si>
    <t>4.3</t>
  </si>
  <si>
    <t>HEA 180</t>
  </si>
  <si>
    <t>IPE 270</t>
  </si>
  <si>
    <t>GBA 19x19x140</t>
  </si>
  <si>
    <t>4.4</t>
  </si>
  <si>
    <t>4.5</t>
  </si>
  <si>
    <t>Lot 1: P0-1.C remplacée par IPE 270</t>
  </si>
  <si>
    <t>Nouvelle poutrelle métallique pour esthétique comme baies existantes</t>
  </si>
  <si>
    <t>Peinture des poutrelles</t>
  </si>
  <si>
    <t>Linteau béton</t>
  </si>
  <si>
    <t>Qp pce</t>
  </si>
  <si>
    <t>Déjà compris dans le bordereau architecture</t>
  </si>
  <si>
    <t>4.6</t>
  </si>
  <si>
    <t>Pattes métalliques à l'intérieur du mur</t>
  </si>
  <si>
    <t>1.41.2</t>
  </si>
  <si>
    <t>Evacuation eaux usées:  canalisations individuelles (coudes non compté inclus dans les longueurs)</t>
  </si>
  <si>
    <t>canalisation individuelle lot 12</t>
  </si>
  <si>
    <t>canalisation individuelle salle commune</t>
  </si>
  <si>
    <t>supplément pour couvercle à carreler si nécessaire</t>
  </si>
  <si>
    <t>fourreau annelé diam 90</t>
  </si>
  <si>
    <t>4.7</t>
  </si>
  <si>
    <t>Lot 12: égouttage et fourreaux de passage</t>
  </si>
  <si>
    <t>Chambre de visite 60x60</t>
  </si>
  <si>
    <t>4.8</t>
  </si>
  <si>
    <t>Lot 12: placement des fenêtres de toiture</t>
  </si>
  <si>
    <t>Fenêtre de toiture Velux GGU2070 UK04 (134x98 double vitrage, bois peint en blanc)</t>
  </si>
  <si>
    <t>Remplacé par Ds-0.c et Ds-0.D</t>
  </si>
  <si>
    <t>Complément pour Ds0.C et Ds0.D cf AV 3</t>
  </si>
  <si>
    <t>A faire</t>
  </si>
  <si>
    <t>Couturages intérieurs d'angle - lot 12 mur de refend-façade</t>
  </si>
  <si>
    <t>Hors évacuation - terre remise "en tas" dans jardin</t>
  </si>
  <si>
    <t>Maçonnerie en bloc béton au-dessus GBA</t>
  </si>
  <si>
    <t>Doit-on les mettre maintenant?</t>
  </si>
  <si>
    <t>Lot 0 "porche": prolongation dalle porche à l'extérieur</t>
  </si>
  <si>
    <t>Lot 1: fermeture au-dessus ouverture existante lot 1 pour poutrains-claveaux</t>
  </si>
  <si>
    <t>Lot 0 "technique": baies portes vers local technique</t>
  </si>
  <si>
    <t>Lot 0 "technique": pattes métalliques pour bloquer les ancres de façade</t>
  </si>
  <si>
    <t>Aurait dû être dans phase 2 mais déjà livrée</t>
  </si>
  <si>
    <t>Aurait dû être dans phase 2</t>
  </si>
  <si>
    <t>Ouverture baie dans pignon lot 12 (baie B2 poste 1.21.1 en architecture phase 2)</t>
  </si>
  <si>
    <t>Prix pour fourniture et pose</t>
  </si>
  <si>
    <t>Fourniture de la poutrelle</t>
  </si>
  <si>
    <t>30% compté pour poutrelle déjà présente sur chantier</t>
  </si>
  <si>
    <t>La baie restera à moitié ouverte dans la phase 1. La seconde partie de l'ouverture sera réalisée en phase 2</t>
  </si>
  <si>
    <t>A faire cf avenant 3</t>
  </si>
  <si>
    <t>matériaux pour dito pour protection</t>
  </si>
  <si>
    <t>bâchage talus avant vacances ( demande de ing stab)</t>
  </si>
  <si>
    <t>5.0</t>
  </si>
  <si>
    <t>5.1</t>
  </si>
  <si>
    <t>5.1.1</t>
  </si>
  <si>
    <t>5.1.2</t>
  </si>
  <si>
    <t>5.1.3</t>
  </si>
  <si>
    <t>Main d'oeuvre pour fermeture provisoire des toitures des granges contre l'eau de pluie</t>
  </si>
  <si>
    <t>QP HR</t>
  </si>
  <si>
    <t>Pris en charge par Crombetec</t>
  </si>
  <si>
    <t>EA1 facture 2024075 du 19-06-2024</t>
  </si>
  <si>
    <t>EA2 facture 2024110 du 12-08-2024</t>
  </si>
  <si>
    <t>EA3 facture 2024123 du 11-09-2024</t>
  </si>
  <si>
    <t>AVENANT 5 (réunion du 19/09/2024) - Lot 0 "passage"</t>
  </si>
  <si>
    <t>Mise au sec du pied de façade local supposé ancienne citerne</t>
  </si>
  <si>
    <t>Terrassement le long façade</t>
  </si>
  <si>
    <t>Etanchéité de type Delta thene</t>
  </si>
  <si>
    <t>Membrane de type Platon</t>
  </si>
  <si>
    <t>Drain en fond de fouille</t>
  </si>
  <si>
    <t>Rembalis drainant</t>
  </si>
  <si>
    <t>AVENANT 5 (réunion du 19/09/2024) - Colombier "bac à sable"</t>
  </si>
  <si>
    <t>"L béton" coulé en place pour retenue terre sous dalette + semelle de fondation</t>
  </si>
  <si>
    <t>Quantité à vérifier en fonction des niveaux sur place</t>
  </si>
  <si>
    <t>terrassement pour dito</t>
  </si>
  <si>
    <t>partie verticale</t>
  </si>
  <si>
    <t>semelle</t>
  </si>
  <si>
    <t>partie horizontale</t>
  </si>
  <si>
    <t>coffrage</t>
  </si>
  <si>
    <t>acier treillis</t>
  </si>
  <si>
    <t>acier barre</t>
  </si>
  <si>
    <t>Muret en pierres récupérées</t>
  </si>
  <si>
    <t>mur en pierre de récupération fouille archéo. sur l'ancienne église.</t>
  </si>
  <si>
    <t>cf poste 1.23.3</t>
  </si>
  <si>
    <t>béton pour semelle de fondation</t>
  </si>
  <si>
    <t>acier barre pour dito</t>
  </si>
  <si>
    <t>mur en bloc béton sous muret en pierre (pour semelle hors gel)</t>
  </si>
  <si>
    <t>Bac à sable</t>
  </si>
  <si>
    <t>empierrement drainant sous sable</t>
  </si>
  <si>
    <t>géotextile</t>
  </si>
  <si>
    <t>sable pour bac à sable</t>
  </si>
  <si>
    <t>barbacane</t>
  </si>
  <si>
    <t>AVENANT 4 (réunion du 11/09/2024) - lot 12</t>
  </si>
  <si>
    <t>Supplément pour mur toute hauteur</t>
  </si>
  <si>
    <t>Prolongation du mur de doublage</t>
  </si>
  <si>
    <t>C1-12.A</t>
  </si>
  <si>
    <t>C2-12.A</t>
  </si>
  <si>
    <t>C2-12.B</t>
  </si>
  <si>
    <t>AVENANT 4 (réunion du 11/09/2024) - Lot 0 "technique" - Lot 1</t>
  </si>
  <si>
    <t>Boites d'ancrage pour dalles en PC dans les pignons</t>
  </si>
  <si>
    <t>Fosses pour régies</t>
  </si>
  <si>
    <t>Fosses de 1M3 pour régies</t>
  </si>
  <si>
    <t>AVENANT 4 (réunion du 11/09/2024) - Colombier</t>
  </si>
  <si>
    <t>Reprise en sous-œuvre sous dallette arrière conservée</t>
  </si>
  <si>
    <t>Prix unitaire</t>
  </si>
  <si>
    <t>mur entre lot 11 et 12</t>
  </si>
  <si>
    <t>Couturage intérieurs d'angle lot 12 pignon et façade arrière</t>
  </si>
  <si>
    <t>Maçonner un mur côté intérieur en bloc de 14 ancrés tous les 2 tas (3,05 m de large et 2,52 m de hauteur°</t>
  </si>
  <si>
    <t>Avenant 4</t>
  </si>
  <si>
    <t>Avenant 5</t>
  </si>
  <si>
    <t>EA4 facture 2024131 du 01-10-2024</t>
  </si>
  <si>
    <t>AVENANT 6 - Lot 0 "Passage"</t>
  </si>
  <si>
    <t>Non compté  - Mis à zéro dans avenant 5</t>
  </si>
  <si>
    <t>Supression de la prolongation dalle passage à l'extérieur</t>
  </si>
  <si>
    <t>Postes de l'avenant 3</t>
  </si>
  <si>
    <t>1.2.1</t>
  </si>
  <si>
    <t>1.2.2</t>
  </si>
  <si>
    <t>1.2.3</t>
  </si>
  <si>
    <t>1.2.4</t>
  </si>
  <si>
    <t>1.2.5</t>
  </si>
  <si>
    <t>Poste conservé dans Avenant 3</t>
  </si>
  <si>
    <t>1.2.6</t>
  </si>
  <si>
    <t>1.2.7</t>
  </si>
  <si>
    <t>1.2.8</t>
  </si>
  <si>
    <t>1.2.9</t>
  </si>
  <si>
    <t>1.2.10</t>
  </si>
  <si>
    <t>Caniveau + égouttage</t>
  </si>
  <si>
    <t>Poste conservé dans Avenant 2</t>
  </si>
  <si>
    <t>1.3</t>
  </si>
  <si>
    <t xml:space="preserve">Brossage dalle </t>
  </si>
  <si>
    <t>Remplacé par empreinte type "pavés" sans supplément de prix</t>
  </si>
  <si>
    <t>1.4</t>
  </si>
  <si>
    <t>Fourreau en attente - annelé diam 90</t>
  </si>
  <si>
    <t>1.5</t>
  </si>
  <si>
    <t>"L béton" pour conservation des terres jardin Lot 8</t>
  </si>
  <si>
    <t>déplacement des gravats vers fouilles archéologiques</t>
  </si>
  <si>
    <t>sable stabilisé sous pied des L béton</t>
  </si>
  <si>
    <t>Remblais en terre au-dessus du pied des L</t>
  </si>
  <si>
    <t>AVENANT 6 - Colombier "bac à sable"</t>
  </si>
  <si>
    <t>2.1</t>
  </si>
  <si>
    <t>Mur de refend et dalle de sol arrière</t>
  </si>
  <si>
    <t>démolition des maconneries et disquage de la dalle</t>
  </si>
  <si>
    <t>2.2</t>
  </si>
  <si>
    <t>2.3</t>
  </si>
  <si>
    <t>2.4</t>
  </si>
  <si>
    <t>A réaliser en phase 2</t>
  </si>
  <si>
    <t>2.5</t>
  </si>
  <si>
    <t>Mur de doublage appentit</t>
  </si>
  <si>
    <t>terrassement pour semelle</t>
  </si>
  <si>
    <t>béton pour semelle</t>
  </si>
  <si>
    <t>AVENANT 6 - Electricité</t>
  </si>
  <si>
    <t>3.1</t>
  </si>
  <si>
    <r>
      <t>Panneaux backélisé dans local technique lot 0</t>
    </r>
    <r>
      <rPr>
        <sz val="11"/>
        <color theme="1"/>
        <rFont val="Calibri"/>
        <family val="2"/>
        <scheme val="minor"/>
      </rPr>
      <t xml:space="preserve"> (y compris lattage)</t>
    </r>
    <r>
      <rPr>
        <u/>
        <sz val="11"/>
        <color theme="1"/>
        <rFont val="Calibri"/>
        <family val="2"/>
        <scheme val="minor"/>
      </rPr>
      <t xml:space="preserve"> - pour pose racks compteur</t>
    </r>
  </si>
  <si>
    <t>Modification des appareils d'éclairage</t>
  </si>
  <si>
    <t>Luminaire avec détecteur de présence</t>
  </si>
  <si>
    <t>Luminaire avec détecteur d eprésence et secours intégrés</t>
  </si>
  <si>
    <t>Passage de bornes de recharge "communes" à électrique</t>
  </si>
  <si>
    <t>câble EXVB 5G4</t>
  </si>
  <si>
    <t>tranchée pour câble ci-dessus</t>
  </si>
  <si>
    <t>AVENANT 6 - Divers</t>
  </si>
  <si>
    <t>Réparation des maçonneries suite enlèvement poutrelles de voucettes</t>
  </si>
  <si>
    <t>Lot 0 - 12</t>
  </si>
  <si>
    <t>Supplément pour acier complémentaire dans escalier lot 12, poutre de ceinture lot 12 et poutre de fondation lot 0 "passage"</t>
  </si>
  <si>
    <t>Supplément gîtage fermeture de lucarne rentrante</t>
  </si>
  <si>
    <t>Fermeture œil de bœuf supérieur dans pignon</t>
  </si>
  <si>
    <t>Compté pour payemement comptant des racks à la commande</t>
  </si>
  <si>
    <t>L béton hauteur 80 cm</t>
  </si>
  <si>
    <t>fourreau</t>
  </si>
  <si>
    <t>Appareillage électrique lot 12 grange</t>
  </si>
  <si>
    <t>AVENANT 6 - Egouttage</t>
  </si>
  <si>
    <t>Eléments à supprimer</t>
  </si>
  <si>
    <t>1.42.3</t>
  </si>
  <si>
    <t>Fosse septique by passable</t>
  </si>
  <si>
    <t>1.42.4</t>
  </si>
  <si>
    <t>Dégraisseur</t>
  </si>
  <si>
    <t>Pré-filtre pour citerne</t>
  </si>
  <si>
    <t>FILTRE EN LIGNE C2000 (2000m²)</t>
  </si>
  <si>
    <t>Chambre de disconnection</t>
  </si>
  <si>
    <t>Taque Hydraulique 080/080 C250Kn</t>
  </si>
  <si>
    <t>AVENANT 6 - Sanitaire lot 12</t>
  </si>
  <si>
    <t>Alimentation en attente</t>
  </si>
  <si>
    <t>Eau froide sanitaire - tuyau en chape</t>
  </si>
  <si>
    <t>6.0</t>
  </si>
  <si>
    <t>Cour</t>
  </si>
  <si>
    <t>Pompe</t>
  </si>
  <si>
    <t>Chambre de visite pour citerne dans cave maison principale</t>
  </si>
  <si>
    <t>Voucette plafond - remplacement par dallette béton</t>
  </si>
  <si>
    <t>barre diam 8 soudée aux poutrelles existantes</t>
  </si>
  <si>
    <t>démontage voucette "applatie"</t>
  </si>
  <si>
    <t>nouvelle dalette de 10 cm d'épaisseur</t>
  </si>
  <si>
    <t>acier treillis soudé à la poutrelle existant</t>
  </si>
  <si>
    <t>AVENANT 6 - Charpente lot 12</t>
  </si>
  <si>
    <t>Fer pour fixer la ferme dans la poutre de ceinture</t>
  </si>
  <si>
    <t>Echantignole</t>
  </si>
  <si>
    <t>compteur supplémentaire sur Rack 1 pour communs</t>
  </si>
  <si>
    <t>tableau général logement, équipé d’un dif. général et attente pour borne de recharge</t>
  </si>
  <si>
    <t>Extérieur</t>
  </si>
  <si>
    <t>double prise de courant hydro encastrées</t>
  </si>
  <si>
    <t>point lumineux commandé avec 1 interrupteur détection de présence</t>
  </si>
  <si>
    <t>Sanitaire</t>
  </si>
  <si>
    <t xml:space="preserve">point lumineux commandé avec 2 interrupteur détection de présence </t>
  </si>
  <si>
    <t>Grange</t>
  </si>
  <si>
    <t>5 points lumineux en applique cdé en 2 directions</t>
  </si>
  <si>
    <t>6 points lumineux cdé en 2 directions</t>
  </si>
  <si>
    <t>2 points lumineux cdé en 1 direction</t>
  </si>
  <si>
    <t>double prise de courant</t>
  </si>
  <si>
    <t>alimentation taque de cuisson</t>
  </si>
  <si>
    <t>Tableau divisionnaire</t>
  </si>
  <si>
    <t>1 coffret VEGA D</t>
  </si>
  <si>
    <t>1 différentiel 300 mA</t>
  </si>
  <si>
    <t>1 différentiel 30 mA</t>
  </si>
  <si>
    <t>circuits bip. Prise de courant et éclairage, disjoncteur 16A</t>
  </si>
  <si>
    <t>barrettes isolées avec identification des circuits-type EV</t>
  </si>
  <si>
    <t>Réception</t>
  </si>
  <si>
    <t>réception des installations électriques par un organisme agrée</t>
  </si>
  <si>
    <t>dossier de réception comprenant les schémas unifilaires, plans d'implantation</t>
  </si>
  <si>
    <t>5.2</t>
  </si>
  <si>
    <t>6.1</t>
  </si>
  <si>
    <t>7.0</t>
  </si>
  <si>
    <t>QP jour</t>
  </si>
  <si>
    <t>Poste supprimé</t>
  </si>
  <si>
    <t>Avenant 6</t>
  </si>
  <si>
    <t>Quantité non réalisées décomptées à l'avenant 6</t>
  </si>
  <si>
    <t>Facturé à 50% en attente validation ingénieur stabilité</t>
  </si>
  <si>
    <t>1 seul côté de la cloison est fermé</t>
  </si>
  <si>
    <t>Non facturé en attente</t>
  </si>
  <si>
    <t>Partie déjà comptée au poste 1.14.</t>
  </si>
  <si>
    <t>Câbles sans fourreau - Quantité pour 1 fourreau par maison recalculée au bordereau phase 2</t>
  </si>
  <si>
    <r>
      <t>Déjointoyage et rejointoyage des maçonneries de parement -</t>
    </r>
    <r>
      <rPr>
        <b/>
        <sz val="11"/>
        <color rgb="FF0000FF"/>
        <rFont val="Calibri"/>
        <family val="2"/>
        <scheme val="minor"/>
      </rPr>
      <t xml:space="preserve"> quantité réellement réalisée</t>
    </r>
  </si>
  <si>
    <r>
      <t xml:space="preserve">Ragréage des maçonneries en brique similaire à l'existant - </t>
    </r>
    <r>
      <rPr>
        <b/>
        <sz val="11"/>
        <color rgb="FF0000FF"/>
        <rFont val="Calibri"/>
        <family val="2"/>
        <scheme val="minor"/>
      </rPr>
      <t>quantité réellement réalisée</t>
    </r>
  </si>
  <si>
    <t>Repporté en phase 2</t>
  </si>
  <si>
    <r>
      <t xml:space="preserve">Déjointoyage et rejointoyage des maçonneries de parement - </t>
    </r>
    <r>
      <rPr>
        <b/>
        <sz val="11"/>
        <color rgb="FF0000FF"/>
        <rFont val="Calibri"/>
        <family val="2"/>
        <scheme val="minor"/>
      </rPr>
      <t>supression pour nouvelles baies - A faire plus tard</t>
    </r>
  </si>
  <si>
    <r>
      <t>Evacuation de la boue dans la cours</t>
    </r>
    <r>
      <rPr>
        <strike/>
        <u/>
        <sz val="11"/>
        <color theme="1"/>
        <rFont val="Calibri"/>
        <family val="2"/>
        <scheme val="minor"/>
      </rPr>
      <t xml:space="preserve"> (sans nettoyage des pavés)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</si>
</sst>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0.000"/>
    <numFmt numFmtId="167" formatCode="&quot;€ &quot;#,##0.00"/>
    <numFmt numFmtId="168" formatCode="#,##0.00\ &quot;€&quot;"/>
    <numFmt numFmtId="169" formatCode="_-* #,##0.00\ [$€-80C]_-;\-* #,##0.00\ [$€-80C]_-;_-* &quot;-&quot;??\ [$€-80C]_-;_-@_-"/>
    <numFmt numFmtId="170" formatCode="_-* #,##0.00\ [$€-40C]_-;\-* #,##0.00\ [$€-40C]_-;_-* &quot;-&quot;??\ [$€-40C]_-;_-@_-"/>
  </numFmts>
  <fonts count="8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Geneva"/>
      <family val="2"/>
      <charset val="1"/>
    </font>
    <font>
      <b/>
      <sz val="9"/>
      <name val="Geneva"/>
      <family val="2"/>
      <charset val="1"/>
    </font>
    <font>
      <sz val="9"/>
      <color indexed="8"/>
      <name val="Geneva"/>
      <family val="2"/>
      <charset val="1"/>
    </font>
    <font>
      <u/>
      <sz val="9"/>
      <color indexed="8"/>
      <name val="Geneva"/>
      <family val="2"/>
      <charset val="1"/>
    </font>
    <font>
      <sz val="8"/>
      <name val="Geneva"/>
      <family val="2"/>
      <charset val="1"/>
    </font>
    <font>
      <sz val="9"/>
      <name val="Geneva"/>
      <family val="2"/>
      <charset val="1"/>
    </font>
    <font>
      <sz val="9"/>
      <name val="Geneva"/>
      <family val="2"/>
      <charset val="1"/>
    </font>
    <font>
      <u/>
      <sz val="9"/>
      <color indexed="8"/>
      <name val="Geneva"/>
      <family val="2"/>
      <charset val="1"/>
    </font>
    <font>
      <sz val="9"/>
      <color indexed="8"/>
      <name val="Geneva"/>
      <family val="2"/>
      <charset val="1"/>
    </font>
    <font>
      <sz val="9"/>
      <color theme="1"/>
      <name val="Geneva"/>
      <family val="2"/>
      <charset val="1"/>
    </font>
    <font>
      <sz val="9"/>
      <name val="Geneva"/>
      <family val="2"/>
    </font>
    <font>
      <b/>
      <sz val="9"/>
      <name val="Geneva"/>
      <family val="2"/>
    </font>
    <font>
      <b/>
      <sz val="9"/>
      <color rgb="FFFF0000"/>
      <name val="Geneva"/>
      <family val="2"/>
    </font>
    <font>
      <b/>
      <sz val="9"/>
      <color indexed="8"/>
      <name val="Geneva"/>
      <family val="2"/>
    </font>
    <font>
      <sz val="10"/>
      <name val="Arial"/>
      <family val="2"/>
    </font>
    <font>
      <u/>
      <sz val="10"/>
      <color theme="10"/>
      <name val="Verdana"/>
      <family val="2"/>
    </font>
    <font>
      <sz val="10"/>
      <name val="Verdana"/>
      <family val="2"/>
    </font>
    <font>
      <sz val="9"/>
      <color rgb="FF0000FF"/>
      <name val="Geneva"/>
      <family val="2"/>
      <charset val="1"/>
    </font>
    <font>
      <b/>
      <sz val="9"/>
      <name val="Geneva"/>
      <family val="2"/>
    </font>
    <font>
      <b/>
      <sz val="9"/>
      <color rgb="FF0000FF"/>
      <name val="Geneva"/>
      <family val="2"/>
    </font>
    <font>
      <b/>
      <sz val="8"/>
      <color rgb="FF0000FF"/>
      <name val="Geneva"/>
      <family val="2"/>
    </font>
    <font>
      <sz val="9"/>
      <name val="Geneva"/>
      <family val="2"/>
    </font>
    <font>
      <b/>
      <sz val="9"/>
      <color rgb="FF0000FF"/>
      <name val="Geneva"/>
      <family val="2"/>
      <charset val="1"/>
    </font>
    <font>
      <b/>
      <sz val="10"/>
      <color rgb="FF0000FF"/>
      <name val="Arial"/>
      <family val="2"/>
    </font>
    <font>
      <b/>
      <sz val="11"/>
      <name val="Geneva"/>
      <family val="2"/>
    </font>
    <font>
      <b/>
      <sz val="11"/>
      <color rgb="FF0000FF"/>
      <name val="Geneva"/>
      <family val="2"/>
    </font>
    <font>
      <b/>
      <sz val="11"/>
      <color indexed="8"/>
      <name val="Geneva"/>
      <family val="2"/>
    </font>
    <font>
      <b/>
      <i/>
      <sz val="11"/>
      <color rgb="FF0000FF"/>
      <name val="Genev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9"/>
      <color rgb="FFFF0000"/>
      <name val="Geneva"/>
      <family val="2"/>
    </font>
    <font>
      <sz val="9"/>
      <color rgb="FF0000FF"/>
      <name val="Geneva"/>
      <family val="2"/>
    </font>
    <font>
      <b/>
      <strike/>
      <sz val="9"/>
      <color rgb="FF99FF99"/>
      <name val="Geneva"/>
      <family val="2"/>
    </font>
    <font>
      <sz val="10"/>
      <name val="Verdana"/>
      <family val="2"/>
    </font>
    <font>
      <b/>
      <sz val="10"/>
      <name val="Geneva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9"/>
      <color theme="4" tint="0.39997558519241921"/>
      <name val="Geneva"/>
      <family val="2"/>
    </font>
    <font>
      <sz val="10"/>
      <name val="Arial"/>
      <family val="2"/>
    </font>
    <font>
      <b/>
      <sz val="9"/>
      <color indexed="8"/>
      <name val="Geneva"/>
      <family val="2"/>
    </font>
    <font>
      <b/>
      <sz val="11"/>
      <color theme="1"/>
      <name val="Genev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0" tint="-0.34998626667073579"/>
      <name val="Arial"/>
      <family val="2"/>
    </font>
    <font>
      <u/>
      <sz val="11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i/>
      <sz val="11"/>
      <color rgb="FF0000FF"/>
      <name val="Calibri"/>
      <family val="2"/>
      <scheme val="minor"/>
    </font>
    <font>
      <i/>
      <sz val="11"/>
      <name val="Geneva"/>
      <family val="2"/>
    </font>
    <font>
      <i/>
      <sz val="11"/>
      <color theme="0" tint="-0.249977111117893"/>
      <name val="Calibri"/>
      <family val="2"/>
      <scheme val="minor"/>
    </font>
    <font>
      <sz val="10"/>
      <color rgb="FF0000FF"/>
      <name val="Arial"/>
      <family val="2"/>
    </font>
    <font>
      <strike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15" fillId="0" borderId="0"/>
    <xf numFmtId="0" fontId="30" fillId="0" borderId="0">
      <alignment vertical="center"/>
    </xf>
    <xf numFmtId="0" fontId="31" fillId="0" borderId="0" applyNumberFormat="0" applyFill="0" applyBorder="0" applyAlignment="0" applyProtection="0"/>
    <xf numFmtId="0" fontId="32" fillId="0" borderId="0"/>
    <xf numFmtId="0" fontId="44" fillId="0" borderId="0"/>
    <xf numFmtId="0" fontId="45" fillId="0" borderId="0"/>
    <xf numFmtId="0" fontId="30" fillId="0" borderId="0"/>
    <xf numFmtId="0" fontId="49" fillId="0" borderId="0"/>
    <xf numFmtId="0" fontId="30" fillId="0" borderId="0"/>
    <xf numFmtId="0" fontId="52" fillId="0" borderId="0"/>
    <xf numFmtId="0" fontId="53" fillId="0" borderId="0"/>
    <xf numFmtId="0" fontId="32" fillId="0" borderId="0"/>
    <xf numFmtId="165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32" fillId="0" borderId="0"/>
    <xf numFmtId="0" fontId="30" fillId="0" borderId="0"/>
    <xf numFmtId="0" fontId="13" fillId="0" borderId="0"/>
    <xf numFmtId="0" fontId="68" fillId="0" borderId="0" applyNumberFormat="0" applyFill="0" applyBorder="0" applyAlignment="0" applyProtection="0"/>
    <xf numFmtId="0" fontId="75" fillId="0" borderId="0"/>
    <xf numFmtId="0" fontId="76" fillId="0" borderId="0"/>
    <xf numFmtId="0" fontId="6" fillId="0" borderId="0"/>
    <xf numFmtId="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622">
    <xf numFmtId="0" fontId="0" fillId="0" borderId="0" xfId="0"/>
    <xf numFmtId="0" fontId="16" fillId="0" borderId="1" xfId="0" applyFont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1" fontId="16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1" fontId="16" fillId="0" borderId="2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2" fontId="16" fillId="0" borderId="2" xfId="0" applyNumberFormat="1" applyFont="1" applyBorder="1" applyAlignment="1">
      <alignment horizontal="center" vertical="top" wrapText="1"/>
    </xf>
    <xf numFmtId="4" fontId="16" fillId="0" borderId="3" xfId="0" applyNumberFormat="1" applyFont="1" applyBorder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1" fontId="22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center" vertical="top" wrapText="1"/>
    </xf>
    <xf numFmtId="2" fontId="16" fillId="0" borderId="0" xfId="0" applyNumberFormat="1" applyFont="1" applyAlignment="1">
      <alignment horizontal="center" vertical="top" wrapText="1"/>
    </xf>
    <xf numFmtId="4" fontId="16" fillId="0" borderId="0" xfId="0" applyNumberFormat="1" applyFont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4" fontId="16" fillId="0" borderId="8" xfId="0" applyNumberFormat="1" applyFont="1" applyBorder="1" applyAlignment="1">
      <alignment horizontal="center" vertical="top" wrapText="1"/>
    </xf>
    <xf numFmtId="0" fontId="16" fillId="0" borderId="8" xfId="0" applyFont="1" applyBorder="1" applyAlignment="1">
      <alignment vertical="top" wrapText="1"/>
    </xf>
    <xf numFmtId="4" fontId="16" fillId="0" borderId="10" xfId="0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vertical="top" wrapText="1"/>
    </xf>
    <xf numFmtId="0" fontId="16" fillId="0" borderId="11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1" fontId="27" fillId="0" borderId="0" xfId="0" applyNumberFormat="1" applyFont="1" applyAlignment="1">
      <alignment horizontal="center" vertical="top" wrapText="1"/>
    </xf>
    <xf numFmtId="1" fontId="27" fillId="0" borderId="10" xfId="0" applyNumberFormat="1" applyFont="1" applyBorder="1" applyAlignment="1">
      <alignment horizontal="center" vertical="top" wrapText="1"/>
    </xf>
    <xf numFmtId="168" fontId="33" fillId="0" borderId="10" xfId="0" applyNumberFormat="1" applyFont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/>
    </xf>
    <xf numFmtId="4" fontId="16" fillId="0" borderId="2" xfId="0" applyNumberFormat="1" applyFont="1" applyBorder="1" applyAlignment="1">
      <alignment horizontal="right" vertical="top" wrapText="1"/>
    </xf>
    <xf numFmtId="4" fontId="16" fillId="0" borderId="0" xfId="0" applyNumberFormat="1" applyFont="1" applyAlignment="1">
      <alignment horizontal="right" vertical="top" wrapText="1"/>
    </xf>
    <xf numFmtId="0" fontId="18" fillId="0" borderId="0" xfId="1" applyFont="1" applyAlignment="1">
      <alignment horizontal="left" vertical="top"/>
    </xf>
    <xf numFmtId="1" fontId="23" fillId="0" borderId="0" xfId="1" applyNumberFormat="1" applyFont="1" applyAlignment="1">
      <alignment horizontal="center" vertical="top"/>
    </xf>
    <xf numFmtId="0" fontId="18" fillId="0" borderId="0" xfId="1" applyFont="1" applyAlignment="1">
      <alignment horizontal="center" vertical="top"/>
    </xf>
    <xf numFmtId="2" fontId="18" fillId="0" borderId="0" xfId="1" applyNumberFormat="1" applyFont="1" applyAlignment="1">
      <alignment horizontal="right" vertical="top"/>
    </xf>
    <xf numFmtId="0" fontId="18" fillId="0" borderId="0" xfId="1" applyFont="1" applyAlignment="1">
      <alignment horizontal="right" vertical="top"/>
    </xf>
    <xf numFmtId="0" fontId="18" fillId="0" borderId="0" xfId="1" applyFont="1" applyAlignment="1">
      <alignment vertical="top"/>
    </xf>
    <xf numFmtId="0" fontId="18" fillId="0" borderId="0" xfId="0" applyFont="1" applyAlignment="1">
      <alignment horizontal="center" vertical="top"/>
    </xf>
    <xf numFmtId="0" fontId="19" fillId="0" borderId="0" xfId="1" applyFont="1" applyAlignment="1">
      <alignment horizontal="left" vertical="top"/>
    </xf>
    <xf numFmtId="1" fontId="25" fillId="0" borderId="0" xfId="0" applyNumberFormat="1" applyFont="1" applyAlignment="1">
      <alignment horizontal="center" vertical="top"/>
    </xf>
    <xf numFmtId="0" fontId="18" fillId="2" borderId="0" xfId="1" applyFont="1" applyFill="1" applyAlignment="1">
      <alignment horizontal="center" vertical="top"/>
    </xf>
    <xf numFmtId="1" fontId="24" fillId="0" borderId="0" xfId="1" applyNumberFormat="1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16" fillId="0" borderId="0" xfId="1" applyFont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1" fontId="22" fillId="0" borderId="3" xfId="0" applyNumberFormat="1" applyFont="1" applyBorder="1" applyAlignment="1">
      <alignment horizontal="center" vertical="top"/>
    </xf>
    <xf numFmtId="1" fontId="17" fillId="0" borderId="3" xfId="0" applyNumberFormat="1" applyFont="1" applyBorder="1" applyAlignment="1">
      <alignment horizontal="right" vertical="top"/>
    </xf>
    <xf numFmtId="1" fontId="16" fillId="0" borderId="3" xfId="0" applyNumberFormat="1" applyFont="1" applyBorder="1" applyAlignment="1">
      <alignment horizontal="right" vertical="top"/>
    </xf>
    <xf numFmtId="2" fontId="16" fillId="0" borderId="3" xfId="0" applyNumberFormat="1" applyFont="1" applyBorder="1" applyAlignment="1">
      <alignment horizontal="center" vertical="top"/>
    </xf>
    <xf numFmtId="4" fontId="16" fillId="0" borderId="5" xfId="0" applyNumberFormat="1" applyFont="1" applyBorder="1" applyAlignment="1">
      <alignment horizontal="right" vertical="top" wrapText="1"/>
    </xf>
    <xf numFmtId="0" fontId="16" fillId="0" borderId="0" xfId="0" applyFont="1" applyAlignment="1">
      <alignment horizontal="center" vertical="top"/>
    </xf>
    <xf numFmtId="1" fontId="22" fillId="0" borderId="0" xfId="0" applyNumberFormat="1" applyFont="1" applyAlignment="1">
      <alignment horizontal="center" vertical="top"/>
    </xf>
    <xf numFmtId="1" fontId="16" fillId="0" borderId="0" xfId="0" applyNumberFormat="1" applyFont="1" applyAlignment="1">
      <alignment horizontal="right" vertical="top"/>
    </xf>
    <xf numFmtId="2" fontId="16" fillId="0" borderId="0" xfId="0" applyNumberFormat="1" applyFont="1" applyAlignment="1">
      <alignment horizontal="center" vertical="top"/>
    </xf>
    <xf numFmtId="0" fontId="16" fillId="0" borderId="7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1" fontId="22" fillId="0" borderId="8" xfId="0" applyNumberFormat="1" applyFont="1" applyBorder="1" applyAlignment="1">
      <alignment horizontal="center" vertical="top"/>
    </xf>
    <xf numFmtId="1" fontId="16" fillId="0" borderId="8" xfId="0" applyNumberFormat="1" applyFont="1" applyBorder="1" applyAlignment="1">
      <alignment horizontal="right" vertical="top"/>
    </xf>
    <xf numFmtId="2" fontId="16" fillId="0" borderId="8" xfId="0" applyNumberFormat="1" applyFont="1" applyBorder="1" applyAlignment="1">
      <alignment horizontal="center" vertical="top"/>
    </xf>
    <xf numFmtId="4" fontId="16" fillId="0" borderId="9" xfId="0" applyNumberFormat="1" applyFont="1" applyBorder="1" applyAlignment="1">
      <alignment horizontal="right" vertical="top" wrapText="1"/>
    </xf>
    <xf numFmtId="0" fontId="16" fillId="0" borderId="0" xfId="0" applyFont="1" applyAlignment="1">
      <alignment horizontal="left" vertical="top"/>
    </xf>
    <xf numFmtId="1" fontId="16" fillId="0" borderId="0" xfId="0" applyNumberFormat="1" applyFont="1" applyAlignment="1">
      <alignment horizontal="center" vertical="top"/>
    </xf>
    <xf numFmtId="0" fontId="16" fillId="0" borderId="10" xfId="0" applyFont="1" applyBorder="1" applyAlignment="1">
      <alignment horizontal="left" vertical="top"/>
    </xf>
    <xf numFmtId="1" fontId="27" fillId="0" borderId="10" xfId="0" applyNumberFormat="1" applyFont="1" applyBorder="1" applyAlignment="1">
      <alignment horizontal="center" vertical="top"/>
    </xf>
    <xf numFmtId="2" fontId="16" fillId="0" borderId="10" xfId="0" applyNumberFormat="1" applyFont="1" applyBorder="1" applyAlignment="1">
      <alignment horizontal="center" vertical="top"/>
    </xf>
    <xf numFmtId="1" fontId="16" fillId="0" borderId="10" xfId="0" applyNumberFormat="1" applyFont="1" applyBorder="1" applyAlignment="1">
      <alignment horizontal="center" vertical="top"/>
    </xf>
    <xf numFmtId="4" fontId="16" fillId="0" borderId="10" xfId="0" applyNumberFormat="1" applyFont="1" applyBorder="1" applyAlignment="1">
      <alignment horizontal="right" vertical="top" wrapText="1"/>
    </xf>
    <xf numFmtId="1" fontId="27" fillId="0" borderId="0" xfId="0" applyNumberFormat="1" applyFont="1" applyAlignment="1">
      <alignment horizontal="center" vertical="top"/>
    </xf>
    <xf numFmtId="1" fontId="27" fillId="0" borderId="8" xfId="0" applyNumberFormat="1" applyFont="1" applyBorder="1" applyAlignment="1">
      <alignment horizontal="center" vertical="top"/>
    </xf>
    <xf numFmtId="1" fontId="16" fillId="0" borderId="8" xfId="0" applyNumberFormat="1" applyFont="1" applyBorder="1" applyAlignment="1">
      <alignment horizontal="center" vertical="top"/>
    </xf>
    <xf numFmtId="168" fontId="34" fillId="0" borderId="10" xfId="0" applyNumberFormat="1" applyFont="1" applyBorder="1" applyAlignment="1">
      <alignment horizontal="right" vertical="top" wrapText="1"/>
    </xf>
    <xf numFmtId="2" fontId="16" fillId="0" borderId="9" xfId="0" applyNumberFormat="1" applyFont="1" applyBorder="1" applyAlignment="1">
      <alignment horizontal="center" vertical="top"/>
    </xf>
    <xf numFmtId="2" fontId="35" fillId="0" borderId="10" xfId="0" applyNumberFormat="1" applyFont="1" applyBorder="1" applyAlignment="1">
      <alignment horizontal="center" vertical="top"/>
    </xf>
    <xf numFmtId="4" fontId="16" fillId="0" borderId="8" xfId="0" applyNumberFormat="1" applyFont="1" applyBorder="1" applyAlignment="1">
      <alignment horizontal="right" vertical="top" wrapText="1"/>
    </xf>
    <xf numFmtId="0" fontId="16" fillId="0" borderId="0" xfId="0" applyFont="1" applyAlignment="1">
      <alignment horizontal="right" vertical="top" wrapText="1"/>
    </xf>
    <xf numFmtId="1" fontId="27" fillId="0" borderId="3" xfId="0" applyNumberFormat="1" applyFont="1" applyBorder="1" applyAlignment="1">
      <alignment horizontal="center" vertical="top"/>
    </xf>
    <xf numFmtId="1" fontId="16" fillId="0" borderId="3" xfId="0" applyNumberFormat="1" applyFont="1" applyBorder="1" applyAlignment="1">
      <alignment horizontal="center" vertical="top"/>
    </xf>
    <xf numFmtId="1" fontId="28" fillId="0" borderId="8" xfId="0" applyNumberFormat="1" applyFont="1" applyBorder="1" applyAlignment="1">
      <alignment horizontal="center" vertical="top"/>
    </xf>
    <xf numFmtId="166" fontId="16" fillId="0" borderId="10" xfId="0" applyNumberFormat="1" applyFont="1" applyBorder="1" applyAlignment="1">
      <alignment horizontal="center" vertical="top"/>
    </xf>
    <xf numFmtId="2" fontId="16" fillId="0" borderId="7" xfId="0" applyNumberFormat="1" applyFont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6" fillId="0" borderId="1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2" fontId="16" fillId="0" borderId="0" xfId="0" applyNumberFormat="1" applyFont="1" applyAlignment="1">
      <alignment vertical="top"/>
    </xf>
    <xf numFmtId="2" fontId="16" fillId="0" borderId="0" xfId="0" applyNumberFormat="1" applyFont="1" applyAlignment="1">
      <alignment horizontal="left" vertical="top"/>
    </xf>
    <xf numFmtId="4" fontId="16" fillId="0" borderId="0" xfId="0" applyNumberFormat="1" applyFont="1" applyAlignment="1">
      <alignment horizontal="right" vertical="top"/>
    </xf>
    <xf numFmtId="168" fontId="34" fillId="0" borderId="5" xfId="0" applyNumberFormat="1" applyFont="1" applyBorder="1" applyAlignment="1">
      <alignment horizontal="right" vertical="top" wrapText="1"/>
    </xf>
    <xf numFmtId="0" fontId="17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16" fillId="0" borderId="10" xfId="0" applyFont="1" applyBorder="1" applyAlignment="1">
      <alignment horizontal="center" vertical="top"/>
    </xf>
    <xf numFmtId="1" fontId="29" fillId="0" borderId="0" xfId="1" applyNumberFormat="1" applyFont="1" applyAlignment="1">
      <alignment horizontal="center" vertical="top"/>
    </xf>
    <xf numFmtId="2" fontId="16" fillId="0" borderId="10" xfId="1" applyNumberFormat="1" applyFont="1" applyBorder="1" applyAlignment="1">
      <alignment horizontal="right" vertical="top" wrapText="1"/>
    </xf>
    <xf numFmtId="167" fontId="16" fillId="0" borderId="10" xfId="1" applyNumberFormat="1" applyFont="1" applyBorder="1" applyAlignment="1">
      <alignment horizontal="right" vertical="top" wrapText="1"/>
    </xf>
    <xf numFmtId="1" fontId="27" fillId="0" borderId="8" xfId="0" applyNumberFormat="1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/>
    </xf>
    <xf numFmtId="2" fontId="16" fillId="0" borderId="8" xfId="0" applyNumberFormat="1" applyFont="1" applyBorder="1" applyAlignment="1">
      <alignment horizontal="right" vertical="top"/>
    </xf>
    <xf numFmtId="167" fontId="16" fillId="0" borderId="8" xfId="0" applyNumberFormat="1" applyFont="1" applyBorder="1" applyAlignment="1">
      <alignment horizontal="right" vertical="top"/>
    </xf>
    <xf numFmtId="167" fontId="16" fillId="0" borderId="9" xfId="0" applyNumberFormat="1" applyFont="1" applyBorder="1" applyAlignment="1">
      <alignment horizontal="right" vertical="top"/>
    </xf>
    <xf numFmtId="2" fontId="16" fillId="0" borderId="0" xfId="1" applyNumberFormat="1" applyFont="1" applyAlignment="1">
      <alignment horizontal="right" vertical="top" wrapText="1"/>
    </xf>
    <xf numFmtId="167" fontId="16" fillId="0" borderId="0" xfId="1" applyNumberFormat="1" applyFont="1" applyAlignment="1">
      <alignment horizontal="right" vertical="top" wrapText="1"/>
    </xf>
    <xf numFmtId="0" fontId="21" fillId="0" borderId="10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right" vertical="top" wrapText="1"/>
    </xf>
    <xf numFmtId="168" fontId="16" fillId="0" borderId="5" xfId="0" applyNumberFormat="1" applyFont="1" applyBorder="1" applyAlignment="1">
      <alignment horizontal="right" vertical="top" wrapText="1"/>
    </xf>
    <xf numFmtId="168" fontId="16" fillId="0" borderId="0" xfId="0" applyNumberFormat="1" applyFont="1" applyAlignment="1">
      <alignment horizontal="right" vertical="top" wrapText="1"/>
    </xf>
    <xf numFmtId="0" fontId="36" fillId="0" borderId="0" xfId="0" applyFont="1" applyAlignment="1">
      <alignment vertical="top" wrapText="1"/>
    </xf>
    <xf numFmtId="0" fontId="36" fillId="0" borderId="0" xfId="1" applyFont="1" applyAlignment="1">
      <alignment vertical="top" wrapText="1"/>
    </xf>
    <xf numFmtId="2" fontId="36" fillId="0" borderId="0" xfId="0" applyNumberFormat="1" applyFont="1" applyAlignment="1">
      <alignment vertical="top" wrapText="1"/>
    </xf>
    <xf numFmtId="0" fontId="36" fillId="0" borderId="0" xfId="0" applyFont="1" applyAlignment="1">
      <alignment horizontal="center" vertical="top" wrapText="1"/>
    </xf>
    <xf numFmtId="0" fontId="35" fillId="0" borderId="10" xfId="0" applyFont="1" applyBorder="1" applyAlignment="1">
      <alignment horizontal="left" vertical="top"/>
    </xf>
    <xf numFmtId="1" fontId="35" fillId="0" borderId="10" xfId="0" applyNumberFormat="1" applyFont="1" applyBorder="1" applyAlignment="1">
      <alignment horizontal="center" vertical="top"/>
    </xf>
    <xf numFmtId="2" fontId="37" fillId="0" borderId="10" xfId="0" applyNumberFormat="1" applyFont="1" applyBorder="1" applyAlignment="1">
      <alignment horizontal="center" vertical="top"/>
    </xf>
    <xf numFmtId="0" fontId="30" fillId="0" borderId="0" xfId="0" applyFont="1"/>
    <xf numFmtId="0" fontId="38" fillId="0" borderId="0" xfId="1" applyFont="1" applyAlignment="1">
      <alignment vertical="top"/>
    </xf>
    <xf numFmtId="0" fontId="39" fillId="0" borderId="0" xfId="0" applyFont="1"/>
    <xf numFmtId="0" fontId="38" fillId="0" borderId="0" xfId="0" applyFont="1" applyAlignment="1">
      <alignment vertical="top"/>
    </xf>
    <xf numFmtId="0" fontId="40" fillId="0" borderId="10" xfId="0" applyFont="1" applyBorder="1" applyAlignment="1">
      <alignment horizontal="left" vertical="top"/>
    </xf>
    <xf numFmtId="0" fontId="40" fillId="0" borderId="10" xfId="0" applyFont="1" applyBorder="1" applyAlignment="1">
      <alignment horizontal="left" vertical="top" wrapText="1"/>
    </xf>
    <xf numFmtId="1" fontId="40" fillId="0" borderId="10" xfId="0" applyNumberFormat="1" applyFont="1" applyBorder="1" applyAlignment="1">
      <alignment horizontal="center" vertical="top" wrapText="1"/>
    </xf>
    <xf numFmtId="2" fontId="40" fillId="0" borderId="10" xfId="0" applyNumberFormat="1" applyFont="1" applyBorder="1" applyAlignment="1">
      <alignment horizontal="center" vertical="top"/>
    </xf>
    <xf numFmtId="0" fontId="40" fillId="0" borderId="10" xfId="0" applyFont="1" applyBorder="1" applyAlignment="1">
      <alignment horizontal="center" vertical="top"/>
    </xf>
    <xf numFmtId="2" fontId="40" fillId="0" borderId="10" xfId="1" applyNumberFormat="1" applyFont="1" applyBorder="1" applyAlignment="1">
      <alignment horizontal="right" vertical="top" wrapText="1"/>
    </xf>
    <xf numFmtId="168" fontId="41" fillId="0" borderId="10" xfId="0" applyNumberFormat="1" applyFont="1" applyBorder="1" applyAlignment="1">
      <alignment horizontal="center" vertical="top" wrapText="1"/>
    </xf>
    <xf numFmtId="168" fontId="40" fillId="0" borderId="10" xfId="0" applyNumberFormat="1" applyFont="1" applyBorder="1" applyAlignment="1">
      <alignment horizontal="right" vertical="top" wrapText="1"/>
    </xf>
    <xf numFmtId="0" fontId="41" fillId="0" borderId="0" xfId="1" applyFont="1" applyAlignment="1">
      <alignment vertical="top"/>
    </xf>
    <xf numFmtId="0" fontId="42" fillId="0" borderId="0" xfId="1" applyFont="1" applyAlignment="1">
      <alignment vertical="top"/>
    </xf>
    <xf numFmtId="0" fontId="40" fillId="0" borderId="0" xfId="0" applyFont="1" applyAlignment="1">
      <alignment vertical="top"/>
    </xf>
    <xf numFmtId="0" fontId="34" fillId="0" borderId="0" xfId="0" applyFont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1" fontId="34" fillId="0" borderId="3" xfId="0" applyNumberFormat="1" applyFont="1" applyBorder="1" applyAlignment="1">
      <alignment horizontal="center" vertical="top"/>
    </xf>
    <xf numFmtId="2" fontId="34" fillId="0" borderId="3" xfId="0" applyNumberFormat="1" applyFont="1" applyBorder="1" applyAlignment="1">
      <alignment horizontal="center" vertical="top"/>
    </xf>
    <xf numFmtId="4" fontId="34" fillId="0" borderId="3" xfId="0" applyNumberFormat="1" applyFont="1" applyBorder="1" applyAlignment="1">
      <alignment horizontal="center" vertical="top" wrapText="1"/>
    </xf>
    <xf numFmtId="0" fontId="34" fillId="0" borderId="0" xfId="0" applyFont="1" applyAlignment="1">
      <alignment vertical="top" wrapText="1"/>
    </xf>
    <xf numFmtId="2" fontId="18" fillId="0" borderId="0" xfId="0" applyNumberFormat="1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4" fontId="43" fillId="0" borderId="0" xfId="0" applyNumberFormat="1" applyFont="1" applyAlignment="1">
      <alignment vertical="top" wrapText="1"/>
    </xf>
    <xf numFmtId="4" fontId="43" fillId="0" borderId="0" xfId="0" applyNumberFormat="1" applyFont="1" applyAlignment="1">
      <alignment vertical="top"/>
    </xf>
    <xf numFmtId="168" fontId="36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30" fillId="0" borderId="10" xfId="0" applyFont="1" applyBorder="1"/>
    <xf numFmtId="0" fontId="0" fillId="0" borderId="10" xfId="0" applyBorder="1"/>
    <xf numFmtId="0" fontId="30" fillId="0" borderId="10" xfId="0" applyFont="1" applyBorder="1" applyAlignment="1">
      <alignment wrapText="1"/>
    </xf>
    <xf numFmtId="168" fontId="50" fillId="0" borderId="2" xfId="0" applyNumberFormat="1" applyFont="1" applyBorder="1" applyAlignment="1">
      <alignment horizontal="right" vertical="top" wrapText="1"/>
    </xf>
    <xf numFmtId="0" fontId="35" fillId="0" borderId="10" xfId="0" applyFont="1" applyBorder="1" applyAlignment="1">
      <alignment vertical="top" wrapText="1"/>
    </xf>
    <xf numFmtId="0" fontId="38" fillId="0" borderId="10" xfId="0" applyFont="1" applyBorder="1" applyAlignment="1">
      <alignment vertical="top" wrapText="1"/>
    </xf>
    <xf numFmtId="0" fontId="51" fillId="0" borderId="0" xfId="0" applyFont="1"/>
    <xf numFmtId="4" fontId="54" fillId="0" borderId="0" xfId="0" applyNumberFormat="1" applyFont="1"/>
    <xf numFmtId="4" fontId="54" fillId="5" borderId="0" xfId="0" applyNumberFormat="1" applyFont="1" applyFill="1"/>
    <xf numFmtId="4" fontId="54" fillId="3" borderId="0" xfId="0" applyNumberFormat="1" applyFont="1" applyFill="1"/>
    <xf numFmtId="4" fontId="54" fillId="6" borderId="0" xfId="0" applyNumberFormat="1" applyFont="1" applyFill="1"/>
    <xf numFmtId="4" fontId="54" fillId="4" borderId="0" xfId="0" applyNumberFormat="1" applyFont="1" applyFill="1"/>
    <xf numFmtId="4" fontId="54" fillId="7" borderId="0" xfId="0" applyNumberFormat="1" applyFont="1" applyFill="1"/>
    <xf numFmtId="4" fontId="54" fillId="2" borderId="0" xfId="0" applyNumberFormat="1" applyFont="1" applyFill="1"/>
    <xf numFmtId="0" fontId="54" fillId="0" borderId="0" xfId="0" applyFont="1"/>
    <xf numFmtId="0" fontId="17" fillId="0" borderId="10" xfId="0" applyFont="1" applyBorder="1" applyAlignment="1">
      <alignment horizontal="left" vertical="top"/>
    </xf>
    <xf numFmtId="2" fontId="34" fillId="0" borderId="10" xfId="0" applyNumberFormat="1" applyFont="1" applyBorder="1" applyAlignment="1">
      <alignment horizontal="center" vertical="top"/>
    </xf>
    <xf numFmtId="1" fontId="17" fillId="0" borderId="10" xfId="0" applyNumberFormat="1" applyFont="1" applyBorder="1" applyAlignment="1">
      <alignment horizontal="center" vertical="top"/>
    </xf>
    <xf numFmtId="2" fontId="17" fillId="0" borderId="9" xfId="0" applyNumberFormat="1" applyFont="1" applyBorder="1" applyAlignment="1">
      <alignment horizontal="center" vertical="top"/>
    </xf>
    <xf numFmtId="2" fontId="17" fillId="0" borderId="10" xfId="0" applyNumberFormat="1" applyFont="1" applyBorder="1" applyAlignment="1">
      <alignment horizontal="center" vertical="top"/>
    </xf>
    <xf numFmtId="4" fontId="39" fillId="0" borderId="0" xfId="0" applyNumberFormat="1" applyFont="1"/>
    <xf numFmtId="2" fontId="38" fillId="0" borderId="10" xfId="0" applyNumberFormat="1" applyFont="1" applyBorder="1" applyAlignment="1">
      <alignment horizontal="center" vertical="top"/>
    </xf>
    <xf numFmtId="0" fontId="17" fillId="0" borderId="10" xfId="0" applyFont="1" applyBorder="1" applyAlignment="1">
      <alignment vertical="top" wrapText="1"/>
    </xf>
    <xf numFmtId="2" fontId="38" fillId="8" borderId="10" xfId="0" applyNumberFormat="1" applyFont="1" applyFill="1" applyBorder="1" applyAlignment="1">
      <alignment horizontal="center" vertical="top"/>
    </xf>
    <xf numFmtId="0" fontId="5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9" borderId="0" xfId="0" applyFont="1" applyFill="1" applyAlignment="1">
      <alignment horizontal="center" vertical="center"/>
    </xf>
    <xf numFmtId="0" fontId="17" fillId="0" borderId="10" xfId="0" applyFont="1" applyBorder="1" applyAlignment="1">
      <alignment horizontal="left" vertical="top" wrapText="1"/>
    </xf>
    <xf numFmtId="1" fontId="37" fillId="0" borderId="10" xfId="0" applyNumberFormat="1" applyFont="1" applyBorder="1" applyAlignment="1">
      <alignment horizontal="center" vertical="top"/>
    </xf>
    <xf numFmtId="2" fontId="37" fillId="0" borderId="9" xfId="0" applyNumberFormat="1" applyFont="1" applyBorder="1" applyAlignment="1">
      <alignment horizontal="center" vertical="top"/>
    </xf>
    <xf numFmtId="2" fontId="33" fillId="0" borderId="0" xfId="0" applyNumberFormat="1" applyFont="1" applyAlignment="1">
      <alignment horizontal="center" vertical="top"/>
    </xf>
    <xf numFmtId="0" fontId="17" fillId="9" borderId="10" xfId="0" applyFont="1" applyFill="1" applyBorder="1" applyAlignment="1">
      <alignment horizontal="left" vertical="top"/>
    </xf>
    <xf numFmtId="1" fontId="27" fillId="9" borderId="10" xfId="0" applyNumberFormat="1" applyFont="1" applyFill="1" applyBorder="1" applyAlignment="1">
      <alignment horizontal="center" vertical="top"/>
    </xf>
    <xf numFmtId="2" fontId="34" fillId="9" borderId="10" xfId="0" applyNumberFormat="1" applyFont="1" applyFill="1" applyBorder="1" applyAlignment="1">
      <alignment horizontal="center" vertical="top"/>
    </xf>
    <xf numFmtId="1" fontId="17" fillId="9" borderId="10" xfId="0" applyNumberFormat="1" applyFont="1" applyFill="1" applyBorder="1" applyAlignment="1">
      <alignment horizontal="center" vertical="top"/>
    </xf>
    <xf numFmtId="2" fontId="17" fillId="9" borderId="9" xfId="0" applyNumberFormat="1" applyFont="1" applyFill="1" applyBorder="1" applyAlignment="1">
      <alignment horizontal="center" vertical="top"/>
    </xf>
    <xf numFmtId="2" fontId="17" fillId="9" borderId="10" xfId="0" applyNumberFormat="1" applyFont="1" applyFill="1" applyBorder="1" applyAlignment="1">
      <alignment horizontal="center" vertical="top"/>
    </xf>
    <xf numFmtId="4" fontId="39" fillId="9" borderId="0" xfId="0" applyNumberFormat="1" applyFont="1" applyFill="1"/>
    <xf numFmtId="2" fontId="38" fillId="9" borderId="10" xfId="0" applyNumberFormat="1" applyFont="1" applyFill="1" applyBorder="1" applyAlignment="1">
      <alignment horizontal="center" vertical="top"/>
    </xf>
    <xf numFmtId="0" fontId="51" fillId="5" borderId="0" xfId="0" applyFont="1" applyFill="1" applyAlignment="1">
      <alignment horizontal="center" vertical="center"/>
    </xf>
    <xf numFmtId="0" fontId="38" fillId="0" borderId="0" xfId="0" applyFont="1" applyAlignment="1">
      <alignment horizontal="left" vertical="top"/>
    </xf>
    <xf numFmtId="1" fontId="33" fillId="0" borderId="0" xfId="0" applyNumberFormat="1" applyFont="1" applyAlignment="1">
      <alignment horizontal="center" vertical="top"/>
    </xf>
    <xf numFmtId="4" fontId="33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4" fontId="34" fillId="0" borderId="2" xfId="0" applyNumberFormat="1" applyFont="1" applyBorder="1" applyAlignment="1">
      <alignment horizontal="center" vertical="center" wrapText="1"/>
    </xf>
    <xf numFmtId="4" fontId="34" fillId="0" borderId="15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vertical="top" wrapText="1"/>
    </xf>
    <xf numFmtId="0" fontId="16" fillId="0" borderId="17" xfId="0" applyFont="1" applyBorder="1" applyAlignment="1">
      <alignment vertical="top" wrapText="1"/>
    </xf>
    <xf numFmtId="168" fontId="16" fillId="0" borderId="17" xfId="0" applyNumberFormat="1" applyFont="1" applyBorder="1" applyAlignment="1">
      <alignment vertical="top" wrapText="1"/>
    </xf>
    <xf numFmtId="2" fontId="16" fillId="0" borderId="17" xfId="0" applyNumberFormat="1" applyFont="1" applyBorder="1" applyAlignment="1">
      <alignment vertical="top"/>
    </xf>
    <xf numFmtId="0" fontId="18" fillId="0" borderId="17" xfId="1" applyFont="1" applyBorder="1" applyAlignment="1">
      <alignment vertical="top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top" wrapText="1"/>
    </xf>
    <xf numFmtId="10" fontId="34" fillId="0" borderId="15" xfId="14" applyNumberFormat="1" applyFont="1" applyBorder="1" applyAlignment="1">
      <alignment horizontal="center" vertical="center" wrapText="1"/>
    </xf>
    <xf numFmtId="10" fontId="16" fillId="0" borderId="17" xfId="14" applyNumberFormat="1" applyFont="1" applyBorder="1" applyAlignment="1">
      <alignment horizontal="center" vertical="top" wrapText="1"/>
    </xf>
    <xf numFmtId="10" fontId="16" fillId="0" borderId="17" xfId="14" applyNumberFormat="1" applyFont="1" applyBorder="1" applyAlignment="1">
      <alignment horizontal="center" vertical="center" wrapText="1"/>
    </xf>
    <xf numFmtId="10" fontId="18" fillId="0" borderId="0" xfId="14" applyNumberFormat="1" applyFont="1" applyAlignment="1">
      <alignment horizontal="center" vertical="center"/>
    </xf>
    <xf numFmtId="10" fontId="16" fillId="0" borderId="16" xfId="14" applyNumberFormat="1" applyFont="1" applyBorder="1" applyAlignment="1">
      <alignment horizontal="center" vertical="center" wrapText="1"/>
    </xf>
    <xf numFmtId="10" fontId="16" fillId="0" borderId="17" xfId="14" applyNumberFormat="1" applyFont="1" applyBorder="1" applyAlignment="1">
      <alignment horizontal="center" vertical="center"/>
    </xf>
    <xf numFmtId="10" fontId="18" fillId="0" borderId="17" xfId="14" applyNumberFormat="1" applyFont="1" applyBorder="1" applyAlignment="1">
      <alignment horizontal="center" vertical="center"/>
    </xf>
    <xf numFmtId="10" fontId="16" fillId="0" borderId="18" xfId="14" applyNumberFormat="1" applyFont="1" applyBorder="1" applyAlignment="1">
      <alignment horizontal="center" vertical="center" wrapText="1"/>
    </xf>
    <xf numFmtId="10" fontId="16" fillId="0" borderId="0" xfId="14" applyNumberFormat="1" applyFont="1" applyAlignment="1">
      <alignment horizontal="center" vertical="center" wrapText="1"/>
    </xf>
    <xf numFmtId="10" fontId="34" fillId="0" borderId="0" xfId="14" applyNumberFormat="1" applyFont="1" applyAlignment="1">
      <alignment vertical="top" wrapText="1"/>
    </xf>
    <xf numFmtId="10" fontId="58" fillId="0" borderId="0" xfId="14" applyNumberFormat="1" applyFont="1" applyAlignment="1">
      <alignment vertical="top"/>
    </xf>
    <xf numFmtId="10" fontId="34" fillId="0" borderId="16" xfId="14" applyNumberFormat="1" applyFont="1" applyBorder="1" applyAlignment="1">
      <alignment vertical="top" wrapText="1"/>
    </xf>
    <xf numFmtId="10" fontId="34" fillId="0" borderId="17" xfId="14" applyNumberFormat="1" applyFont="1" applyBorder="1" applyAlignment="1">
      <alignment vertical="top" wrapText="1"/>
    </xf>
    <xf numFmtId="10" fontId="34" fillId="0" borderId="17" xfId="14" applyNumberFormat="1" applyFont="1" applyBorder="1" applyAlignment="1">
      <alignment vertical="top"/>
    </xf>
    <xf numFmtId="10" fontId="58" fillId="0" borderId="17" xfId="14" applyNumberFormat="1" applyFont="1" applyBorder="1" applyAlignment="1">
      <alignment vertical="top"/>
    </xf>
    <xf numFmtId="10" fontId="34" fillId="0" borderId="17" xfId="14" applyNumberFormat="1" applyFont="1" applyBorder="1" applyAlignment="1">
      <alignment vertical="center" wrapText="1"/>
    </xf>
    <xf numFmtId="10" fontId="34" fillId="0" borderId="18" xfId="14" applyNumberFormat="1" applyFont="1" applyBorder="1" applyAlignment="1">
      <alignment vertical="top" wrapText="1"/>
    </xf>
    <xf numFmtId="165" fontId="34" fillId="0" borderId="17" xfId="13" applyFont="1" applyBorder="1" applyAlignment="1">
      <alignment vertical="top" wrapText="1"/>
    </xf>
    <xf numFmtId="10" fontId="35" fillId="0" borderId="0" xfId="14" applyNumberFormat="1" applyFont="1" applyAlignment="1">
      <alignment horizontal="center" vertical="center" wrapText="1"/>
    </xf>
    <xf numFmtId="10" fontId="35" fillId="0" borderId="0" xfId="14" applyNumberFormat="1" applyFont="1" applyAlignment="1">
      <alignment horizontal="center" vertical="center"/>
    </xf>
    <xf numFmtId="10" fontId="35" fillId="0" borderId="17" xfId="14" applyNumberFormat="1" applyFont="1" applyBorder="1" applyAlignment="1">
      <alignment horizontal="center" vertical="center" wrapText="1"/>
    </xf>
    <xf numFmtId="10" fontId="34" fillId="0" borderId="2" xfId="14" applyNumberFormat="1" applyFont="1" applyBorder="1" applyAlignment="1">
      <alignment horizontal="center" vertical="center" wrapText="1"/>
    </xf>
    <xf numFmtId="0" fontId="42" fillId="0" borderId="7" xfId="1" applyFont="1" applyBorder="1" applyAlignment="1">
      <alignment vertical="top"/>
    </xf>
    <xf numFmtId="165" fontId="42" fillId="0" borderId="9" xfId="1" applyNumberFormat="1" applyFont="1" applyBorder="1" applyAlignment="1">
      <alignment vertical="top"/>
    </xf>
    <xf numFmtId="165" fontId="34" fillId="0" borderId="17" xfId="0" applyNumberFormat="1" applyFont="1" applyBorder="1" applyAlignment="1">
      <alignment vertical="top" wrapText="1"/>
    </xf>
    <xf numFmtId="10" fontId="35" fillId="0" borderId="0" xfId="14" applyNumberFormat="1" applyFont="1" applyBorder="1" applyAlignment="1">
      <alignment horizontal="center" vertical="center" wrapText="1"/>
    </xf>
    <xf numFmtId="10" fontId="16" fillId="0" borderId="0" xfId="14" applyNumberFormat="1" applyFont="1" applyBorder="1" applyAlignment="1">
      <alignment horizontal="center" vertical="center" wrapText="1"/>
    </xf>
    <xf numFmtId="10" fontId="34" fillId="0" borderId="0" xfId="14" applyNumberFormat="1" applyFont="1" applyBorder="1" applyAlignment="1">
      <alignment vertical="top" wrapText="1"/>
    </xf>
    <xf numFmtId="10" fontId="34" fillId="0" borderId="1" xfId="14" applyNumberFormat="1" applyFont="1" applyBorder="1" applyAlignment="1">
      <alignment vertical="top" wrapText="1"/>
    </xf>
    <xf numFmtId="165" fontId="34" fillId="0" borderId="5" xfId="13" applyFont="1" applyBorder="1" applyAlignment="1">
      <alignment vertical="top" wrapText="1"/>
    </xf>
    <xf numFmtId="169" fontId="16" fillId="0" borderId="5" xfId="0" applyNumberFormat="1" applyFont="1" applyBorder="1" applyAlignment="1">
      <alignment vertical="top" wrapText="1"/>
    </xf>
    <xf numFmtId="169" fontId="16" fillId="0" borderId="0" xfId="0" applyNumberFormat="1" applyFont="1" applyAlignment="1">
      <alignment vertical="top" wrapText="1"/>
    </xf>
    <xf numFmtId="169" fontId="34" fillId="0" borderId="5" xfId="0" applyNumberFormat="1" applyFont="1" applyBorder="1" applyAlignment="1">
      <alignment vertical="top" wrapText="1"/>
    </xf>
    <xf numFmtId="165" fontId="34" fillId="0" borderId="18" xfId="13" applyFont="1" applyBorder="1" applyAlignment="1">
      <alignment vertical="top" wrapText="1"/>
    </xf>
    <xf numFmtId="0" fontId="0" fillId="0" borderId="1" xfId="0" applyBorder="1"/>
    <xf numFmtId="165" fontId="51" fillId="0" borderId="5" xfId="13" applyFont="1" applyBorder="1"/>
    <xf numFmtId="10" fontId="16" fillId="0" borderId="0" xfId="14" applyNumberFormat="1" applyFont="1" applyAlignment="1">
      <alignment horizontal="center" vertical="center"/>
    </xf>
    <xf numFmtId="10" fontId="59" fillId="0" borderId="0" xfId="14" applyNumberFormat="1" applyFont="1" applyAlignment="1">
      <alignment horizontal="center" vertical="center"/>
    </xf>
    <xf numFmtId="10" fontId="40" fillId="0" borderId="0" xfId="14" applyNumberFormat="1" applyFont="1" applyAlignment="1">
      <alignment horizontal="center" vertical="center"/>
    </xf>
    <xf numFmtId="10" fontId="38" fillId="0" borderId="17" xfId="14" applyNumberFormat="1" applyFont="1" applyBorder="1" applyAlignment="1">
      <alignment horizontal="center" vertical="center" wrapText="1"/>
    </xf>
    <xf numFmtId="10" fontId="38" fillId="0" borderId="18" xfId="14" applyNumberFormat="1" applyFont="1" applyBorder="1" applyAlignment="1">
      <alignment horizontal="center" vertical="center" wrapText="1"/>
    </xf>
    <xf numFmtId="165" fontId="34" fillId="0" borderId="17" xfId="13" applyFont="1" applyBorder="1" applyAlignment="1">
      <alignment vertical="center" wrapText="1"/>
    </xf>
    <xf numFmtId="165" fontId="34" fillId="0" borderId="17" xfId="13" applyFont="1" applyFill="1" applyBorder="1" applyAlignment="1">
      <alignment vertical="top" wrapText="1"/>
    </xf>
    <xf numFmtId="10" fontId="16" fillId="0" borderId="17" xfId="14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right" vertical="top"/>
    </xf>
    <xf numFmtId="0" fontId="34" fillId="0" borderId="7" xfId="0" applyFont="1" applyBorder="1" applyAlignment="1">
      <alignment horizontal="left" vertical="top"/>
    </xf>
    <xf numFmtId="0" fontId="34" fillId="0" borderId="8" xfId="0" applyFont="1" applyBorder="1" applyAlignment="1">
      <alignment horizontal="left" vertical="top"/>
    </xf>
    <xf numFmtId="1" fontId="34" fillId="0" borderId="8" xfId="0" applyNumberFormat="1" applyFont="1" applyBorder="1" applyAlignment="1">
      <alignment horizontal="center" vertical="top"/>
    </xf>
    <xf numFmtId="1" fontId="34" fillId="0" borderId="8" xfId="0" applyNumberFormat="1" applyFont="1" applyBorder="1" applyAlignment="1">
      <alignment horizontal="right" vertical="top"/>
    </xf>
    <xf numFmtId="2" fontId="34" fillId="0" borderId="8" xfId="0" applyNumberFormat="1" applyFont="1" applyBorder="1" applyAlignment="1">
      <alignment horizontal="center" vertical="top"/>
    </xf>
    <xf numFmtId="4" fontId="34" fillId="0" borderId="8" xfId="0" applyNumberFormat="1" applyFont="1" applyBorder="1" applyAlignment="1">
      <alignment horizontal="center" vertical="top" wrapText="1"/>
    </xf>
    <xf numFmtId="4" fontId="34" fillId="0" borderId="9" xfId="0" applyNumberFormat="1" applyFont="1" applyBorder="1" applyAlignment="1">
      <alignment horizontal="right" vertical="top" wrapText="1"/>
    </xf>
    <xf numFmtId="0" fontId="34" fillId="0" borderId="0" xfId="0" applyFont="1" applyAlignment="1">
      <alignment horizontal="center" vertical="top" wrapText="1"/>
    </xf>
    <xf numFmtId="10" fontId="34" fillId="0" borderId="17" xfId="14" applyNumberFormat="1" applyFont="1" applyBorder="1" applyAlignment="1">
      <alignment horizontal="center" vertical="center" wrapText="1"/>
    </xf>
    <xf numFmtId="0" fontId="34" fillId="0" borderId="17" xfId="0" applyFont="1" applyBorder="1" applyAlignment="1">
      <alignment vertical="top" wrapText="1"/>
    </xf>
    <xf numFmtId="0" fontId="34" fillId="0" borderId="8" xfId="0" applyFont="1" applyBorder="1" applyAlignment="1">
      <alignment vertical="top" wrapText="1"/>
    </xf>
    <xf numFmtId="168" fontId="51" fillId="0" borderId="2" xfId="0" applyNumberFormat="1" applyFont="1" applyBorder="1"/>
    <xf numFmtId="10" fontId="37" fillId="0" borderId="17" xfId="14" applyNumberFormat="1" applyFont="1" applyBorder="1" applyAlignment="1">
      <alignment horizontal="center" vertical="center" wrapText="1"/>
    </xf>
    <xf numFmtId="10" fontId="37" fillId="0" borderId="18" xfId="14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1" fontId="16" fillId="0" borderId="9" xfId="0" applyNumberFormat="1" applyFont="1" applyBorder="1" applyAlignment="1">
      <alignment horizontal="center" vertical="top"/>
    </xf>
    <xf numFmtId="1" fontId="27" fillId="0" borderId="9" xfId="0" applyNumberFormat="1" applyFont="1" applyBorder="1" applyAlignment="1">
      <alignment horizontal="center" vertical="top"/>
    </xf>
    <xf numFmtId="1" fontId="27" fillId="0" borderId="10" xfId="0" quotePrefix="1" applyNumberFormat="1" applyFont="1" applyBorder="1" applyAlignment="1">
      <alignment horizontal="center" vertical="top"/>
    </xf>
    <xf numFmtId="0" fontId="38" fillId="0" borderId="12" xfId="0" applyFont="1" applyBorder="1" applyAlignment="1">
      <alignment horizontal="left" vertical="top"/>
    </xf>
    <xf numFmtId="1" fontId="33" fillId="0" borderId="13" xfId="0" applyNumberFormat="1" applyFont="1" applyBorder="1" applyAlignment="1">
      <alignment horizontal="center" vertical="top"/>
    </xf>
    <xf numFmtId="2" fontId="33" fillId="0" borderId="13" xfId="0" applyNumberFormat="1" applyFont="1" applyBorder="1" applyAlignment="1">
      <alignment horizontal="center" vertical="top"/>
    </xf>
    <xf numFmtId="4" fontId="33" fillId="0" borderId="13" xfId="0" applyNumberFormat="1" applyFont="1" applyBorder="1" applyAlignment="1">
      <alignment horizontal="center" vertical="top" wrapText="1"/>
    </xf>
    <xf numFmtId="168" fontId="33" fillId="0" borderId="14" xfId="0" applyNumberFormat="1" applyFont="1" applyBorder="1" applyAlignment="1">
      <alignment horizontal="right" vertical="top" wrapText="1"/>
    </xf>
    <xf numFmtId="0" fontId="38" fillId="0" borderId="12" xfId="0" applyFont="1" applyBorder="1" applyAlignment="1">
      <alignment horizontal="left" vertical="center"/>
    </xf>
    <xf numFmtId="1" fontId="33" fillId="0" borderId="13" xfId="0" applyNumberFormat="1" applyFont="1" applyBorder="1" applyAlignment="1">
      <alignment horizontal="center" vertical="center"/>
    </xf>
    <xf numFmtId="2" fontId="33" fillId="0" borderId="13" xfId="0" applyNumberFormat="1" applyFont="1" applyBorder="1" applyAlignment="1">
      <alignment horizontal="center" vertical="center"/>
    </xf>
    <xf numFmtId="4" fontId="33" fillId="0" borderId="13" xfId="0" applyNumberFormat="1" applyFont="1" applyBorder="1" applyAlignment="1">
      <alignment horizontal="center" vertical="center" wrapText="1"/>
    </xf>
    <xf numFmtId="168" fontId="33" fillId="0" borderId="14" xfId="0" applyNumberFormat="1" applyFont="1" applyBorder="1" applyAlignment="1">
      <alignment horizontal="right" vertical="center" wrapText="1"/>
    </xf>
    <xf numFmtId="169" fontId="56" fillId="0" borderId="3" xfId="0" applyNumberFormat="1" applyFont="1" applyBorder="1" applyAlignment="1">
      <alignment horizontal="center" vertical="top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6" fillId="0" borderId="11" xfId="0" applyFont="1" applyBorder="1" applyAlignment="1">
      <alignment horizontal="left" vertical="top"/>
    </xf>
    <xf numFmtId="0" fontId="39" fillId="0" borderId="0" xfId="0" applyFont="1" applyAlignment="1">
      <alignment wrapText="1"/>
    </xf>
    <xf numFmtId="10" fontId="35" fillId="3" borderId="2" xfId="14" applyNumberFormat="1" applyFont="1" applyFill="1" applyBorder="1" applyAlignment="1">
      <alignment horizontal="center" vertical="center" wrapText="1"/>
    </xf>
    <xf numFmtId="0" fontId="35" fillId="0" borderId="10" xfId="9" applyFont="1" applyBorder="1" applyAlignment="1">
      <alignment vertical="top" wrapText="1"/>
    </xf>
    <xf numFmtId="0" fontId="47" fillId="0" borderId="10" xfId="0" applyFont="1" applyBorder="1" applyAlignment="1">
      <alignment vertical="top" wrapText="1"/>
    </xf>
    <xf numFmtId="2" fontId="47" fillId="0" borderId="10" xfId="0" applyNumberFormat="1" applyFont="1" applyBorder="1" applyAlignment="1">
      <alignment horizontal="center" vertical="top"/>
    </xf>
    <xf numFmtId="0" fontId="38" fillId="0" borderId="0" xfId="0" quotePrefix="1" applyFont="1" applyAlignment="1">
      <alignment vertical="top" wrapText="1"/>
    </xf>
    <xf numFmtId="165" fontId="34" fillId="3" borderId="17" xfId="13" applyFont="1" applyFill="1" applyBorder="1" applyAlignment="1">
      <alignment vertical="top" wrapText="1"/>
    </xf>
    <xf numFmtId="0" fontId="38" fillId="3" borderId="12" xfId="0" applyFont="1" applyFill="1" applyBorder="1" applyAlignment="1">
      <alignment horizontal="left" vertical="center"/>
    </xf>
    <xf numFmtId="1" fontId="33" fillId="3" borderId="13" xfId="0" applyNumberFormat="1" applyFont="1" applyFill="1" applyBorder="1" applyAlignment="1">
      <alignment horizontal="center" vertical="center"/>
    </xf>
    <xf numFmtId="2" fontId="33" fillId="3" borderId="13" xfId="0" applyNumberFormat="1" applyFont="1" applyFill="1" applyBorder="1" applyAlignment="1">
      <alignment horizontal="center" vertical="center"/>
    </xf>
    <xf numFmtId="4" fontId="33" fillId="3" borderId="13" xfId="0" applyNumberFormat="1" applyFont="1" applyFill="1" applyBorder="1" applyAlignment="1">
      <alignment horizontal="center" vertical="center" wrapText="1"/>
    </xf>
    <xf numFmtId="168" fontId="33" fillId="3" borderId="14" xfId="0" applyNumberFormat="1" applyFont="1" applyFill="1" applyBorder="1" applyAlignment="1">
      <alignment horizontal="right" vertical="center" wrapText="1"/>
    </xf>
    <xf numFmtId="0" fontId="36" fillId="3" borderId="0" xfId="0" applyFont="1" applyFill="1" applyAlignment="1">
      <alignment vertical="top" wrapText="1"/>
    </xf>
    <xf numFmtId="2" fontId="16" fillId="3" borderId="10" xfId="0" applyNumberFormat="1" applyFont="1" applyFill="1" applyBorder="1" applyAlignment="1">
      <alignment horizontal="center" vertical="top"/>
    </xf>
    <xf numFmtId="2" fontId="16" fillId="0" borderId="0" xfId="0" applyNumberFormat="1" applyFont="1" applyAlignment="1">
      <alignment vertical="top" wrapText="1"/>
    </xf>
    <xf numFmtId="1" fontId="16" fillId="3" borderId="10" xfId="0" applyNumberFormat="1" applyFont="1" applyFill="1" applyBorder="1" applyAlignment="1">
      <alignment horizontal="center" vertical="top"/>
    </xf>
    <xf numFmtId="168" fontId="33" fillId="3" borderId="10" xfId="0" applyNumberFormat="1" applyFont="1" applyFill="1" applyBorder="1" applyAlignment="1">
      <alignment horizontal="center" vertical="top" wrapText="1"/>
    </xf>
    <xf numFmtId="168" fontId="34" fillId="3" borderId="10" xfId="0" applyNumberFormat="1" applyFont="1" applyFill="1" applyBorder="1" applyAlignment="1">
      <alignment horizontal="right" vertical="top" wrapText="1"/>
    </xf>
    <xf numFmtId="0" fontId="63" fillId="0" borderId="0" xfId="0" applyFont="1"/>
    <xf numFmtId="0" fontId="30" fillId="3" borderId="0" xfId="0" applyFont="1" applyFill="1"/>
    <xf numFmtId="0" fontId="60" fillId="3" borderId="0" xfId="0" applyFont="1" applyFill="1"/>
    <xf numFmtId="1" fontId="25" fillId="3" borderId="10" xfId="0" applyNumberFormat="1" applyFont="1" applyFill="1" applyBorder="1" applyAlignment="1">
      <alignment horizontal="center" vertical="top"/>
    </xf>
    <xf numFmtId="2" fontId="16" fillId="3" borderId="10" xfId="1" applyNumberFormat="1" applyFont="1" applyFill="1" applyBorder="1" applyAlignment="1">
      <alignment horizontal="right" vertical="top" wrapText="1"/>
    </xf>
    <xf numFmtId="0" fontId="13" fillId="0" borderId="0" xfId="17" applyAlignment="1">
      <alignment horizontal="center"/>
    </xf>
    <xf numFmtId="0" fontId="13" fillId="0" borderId="0" xfId="17"/>
    <xf numFmtId="0" fontId="62" fillId="0" borderId="0" xfId="17" applyFont="1"/>
    <xf numFmtId="4" fontId="67" fillId="0" borderId="0" xfId="17" applyNumberFormat="1" applyFont="1"/>
    <xf numFmtId="4" fontId="13" fillId="0" borderId="0" xfId="17" applyNumberFormat="1" applyAlignment="1">
      <alignment horizontal="center"/>
    </xf>
    <xf numFmtId="170" fontId="13" fillId="0" borderId="0" xfId="17" applyNumberFormat="1"/>
    <xf numFmtId="4" fontId="65" fillId="0" borderId="0" xfId="17" applyNumberFormat="1" applyFont="1"/>
    <xf numFmtId="0" fontId="69" fillId="8" borderId="0" xfId="17" applyFont="1" applyFill="1" applyAlignment="1">
      <alignment horizontal="center"/>
    </xf>
    <xf numFmtId="0" fontId="69" fillId="8" borderId="0" xfId="17" applyFont="1" applyFill="1"/>
    <xf numFmtId="4" fontId="70" fillId="8" borderId="0" xfId="17" applyNumberFormat="1" applyFont="1" applyFill="1"/>
    <xf numFmtId="4" fontId="71" fillId="8" borderId="0" xfId="17" applyNumberFormat="1" applyFont="1" applyFill="1" applyAlignment="1">
      <alignment horizontal="center"/>
    </xf>
    <xf numFmtId="170" fontId="71" fillId="8" borderId="0" xfId="17" applyNumberFormat="1" applyFont="1" applyFill="1"/>
    <xf numFmtId="170" fontId="69" fillId="8" borderId="0" xfId="17" applyNumberFormat="1" applyFont="1" applyFill="1"/>
    <xf numFmtId="0" fontId="72" fillId="0" borderId="0" xfId="17" applyFont="1" applyAlignment="1">
      <alignment horizontal="left" vertical="top"/>
    </xf>
    <xf numFmtId="0" fontId="64" fillId="0" borderId="0" xfId="17" applyFont="1"/>
    <xf numFmtId="170" fontId="66" fillId="0" borderId="0" xfId="17" applyNumberFormat="1" applyFont="1"/>
    <xf numFmtId="170" fontId="62" fillId="0" borderId="0" xfId="17" applyNumberFormat="1" applyFont="1"/>
    <xf numFmtId="170" fontId="62" fillId="0" borderId="0" xfId="17" applyNumberFormat="1" applyFont="1" applyAlignment="1">
      <alignment horizontal="right"/>
    </xf>
    <xf numFmtId="170" fontId="62" fillId="0" borderId="2" xfId="17" applyNumberFormat="1" applyFont="1" applyBorder="1"/>
    <xf numFmtId="10" fontId="34" fillId="0" borderId="17" xfId="14" applyNumberFormat="1" applyFont="1" applyFill="1" applyBorder="1" applyAlignment="1">
      <alignment vertical="center" wrapText="1"/>
    </xf>
    <xf numFmtId="2" fontId="25" fillId="3" borderId="10" xfId="0" applyNumberFormat="1" applyFont="1" applyFill="1" applyBorder="1" applyAlignment="1">
      <alignment horizontal="center" vertical="top"/>
    </xf>
    <xf numFmtId="1" fontId="27" fillId="3" borderId="10" xfId="0" applyNumberFormat="1" applyFont="1" applyFill="1" applyBorder="1" applyAlignment="1">
      <alignment horizontal="center" vertical="top" wrapText="1"/>
    </xf>
    <xf numFmtId="2" fontId="37" fillId="3" borderId="10" xfId="0" applyNumberFormat="1" applyFont="1" applyFill="1" applyBorder="1" applyAlignment="1">
      <alignment horizontal="center" vertical="top"/>
    </xf>
    <xf numFmtId="0" fontId="38" fillId="3" borderId="0" xfId="1" applyFont="1" applyFill="1" applyAlignment="1">
      <alignment vertical="top"/>
    </xf>
    <xf numFmtId="0" fontId="18" fillId="3" borderId="0" xfId="0" applyFont="1" applyFill="1" applyAlignment="1">
      <alignment horizontal="center" vertical="top"/>
    </xf>
    <xf numFmtId="2" fontId="39" fillId="0" borderId="0" xfId="0" applyNumberFormat="1" applyFont="1"/>
    <xf numFmtId="2" fontId="0" fillId="0" borderId="0" xfId="0" applyNumberFormat="1"/>
    <xf numFmtId="1" fontId="27" fillId="3" borderId="10" xfId="0" applyNumberFormat="1" applyFont="1" applyFill="1" applyBorder="1" applyAlignment="1">
      <alignment horizontal="center" vertical="top"/>
    </xf>
    <xf numFmtId="0" fontId="16" fillId="3" borderId="10" xfId="0" applyFont="1" applyFill="1" applyBorder="1" applyAlignment="1">
      <alignment horizontal="left" vertical="top"/>
    </xf>
    <xf numFmtId="168" fontId="0" fillId="0" borderId="0" xfId="0" applyNumberFormat="1"/>
    <xf numFmtId="0" fontId="72" fillId="0" borderId="0" xfId="17" applyFont="1" applyAlignment="1">
      <alignment horizontal="left" vertical="top" wrapText="1"/>
    </xf>
    <xf numFmtId="0" fontId="72" fillId="3" borderId="0" xfId="17" applyFont="1" applyFill="1" applyAlignment="1">
      <alignment horizontal="left" vertical="top" wrapText="1"/>
    </xf>
    <xf numFmtId="0" fontId="13" fillId="0" borderId="0" xfId="17" applyAlignment="1">
      <alignment horizontal="center" vertical="top"/>
    </xf>
    <xf numFmtId="0" fontId="13" fillId="0" borderId="0" xfId="17" applyAlignment="1">
      <alignment vertical="top"/>
    </xf>
    <xf numFmtId="0" fontId="62" fillId="0" borderId="0" xfId="17" applyFont="1" applyAlignment="1">
      <alignment vertical="top"/>
    </xf>
    <xf numFmtId="4" fontId="67" fillId="0" borderId="0" xfId="17" applyNumberFormat="1" applyFont="1" applyAlignment="1">
      <alignment vertical="top"/>
    </xf>
    <xf numFmtId="4" fontId="13" fillId="0" borderId="0" xfId="17" applyNumberFormat="1" applyAlignment="1">
      <alignment horizontal="center" vertical="top"/>
    </xf>
    <xf numFmtId="170" fontId="13" fillId="0" borderId="0" xfId="17" applyNumberFormat="1" applyAlignment="1">
      <alignment vertical="top"/>
    </xf>
    <xf numFmtId="0" fontId="13" fillId="0" borderId="0" xfId="17" applyAlignment="1">
      <alignment vertical="top" wrapText="1"/>
    </xf>
    <xf numFmtId="4" fontId="65" fillId="0" borderId="0" xfId="17" applyNumberFormat="1" applyFont="1" applyAlignment="1">
      <alignment vertical="top"/>
    </xf>
    <xf numFmtId="0" fontId="69" fillId="8" borderId="0" xfId="17" applyFont="1" applyFill="1" applyAlignment="1">
      <alignment horizontal="center" vertical="top"/>
    </xf>
    <xf numFmtId="0" fontId="69" fillId="8" borderId="0" xfId="17" applyFont="1" applyFill="1" applyAlignment="1">
      <alignment vertical="top"/>
    </xf>
    <xf numFmtId="4" fontId="70" fillId="8" borderId="0" xfId="17" applyNumberFormat="1" applyFont="1" applyFill="1" applyAlignment="1">
      <alignment vertical="top"/>
    </xf>
    <xf numFmtId="4" fontId="71" fillId="8" borderId="0" xfId="17" applyNumberFormat="1" applyFont="1" applyFill="1" applyAlignment="1">
      <alignment horizontal="center" vertical="top"/>
    </xf>
    <xf numFmtId="170" fontId="71" fillId="8" borderId="0" xfId="17" applyNumberFormat="1" applyFont="1" applyFill="1" applyAlignment="1">
      <alignment vertical="top"/>
    </xf>
    <xf numFmtId="164" fontId="69" fillId="8" borderId="0" xfId="17" applyNumberFormat="1" applyFont="1" applyFill="1" applyAlignment="1">
      <alignment vertical="top" wrapText="1"/>
    </xf>
    <xf numFmtId="10" fontId="34" fillId="0" borderId="2" xfId="14" applyNumberFormat="1" applyFont="1" applyBorder="1" applyAlignment="1">
      <alignment horizontal="center" vertical="top" wrapText="1"/>
    </xf>
    <xf numFmtId="4" fontId="34" fillId="0" borderId="2" xfId="0" applyNumberFormat="1" applyFont="1" applyBorder="1" applyAlignment="1">
      <alignment horizontal="center" vertical="top" wrapText="1"/>
    </xf>
    <xf numFmtId="0" fontId="67" fillId="0" borderId="0" xfId="17" applyFont="1" applyAlignment="1">
      <alignment horizontal="center" vertical="top"/>
    </xf>
    <xf numFmtId="0" fontId="64" fillId="0" borderId="0" xfId="17" applyFont="1" applyAlignment="1">
      <alignment vertical="top"/>
    </xf>
    <xf numFmtId="170" fontId="66" fillId="0" borderId="0" xfId="17" applyNumberFormat="1" applyFont="1" applyAlignment="1">
      <alignment vertical="top"/>
    </xf>
    <xf numFmtId="170" fontId="62" fillId="0" borderId="0" xfId="17" applyNumberFormat="1" applyFont="1" applyAlignment="1">
      <alignment vertical="top"/>
    </xf>
    <xf numFmtId="0" fontId="12" fillId="0" borderId="0" xfId="17" applyFont="1" applyAlignment="1">
      <alignment vertical="top"/>
    </xf>
    <xf numFmtId="0" fontId="12" fillId="0" borderId="0" xfId="17" applyFont="1" applyAlignment="1">
      <alignment horizontal="center" vertical="top"/>
    </xf>
    <xf numFmtId="10" fontId="34" fillId="0" borderId="17" xfId="14" applyNumberFormat="1" applyFont="1" applyBorder="1" applyAlignment="1">
      <alignment horizontal="center" vertical="top" wrapText="1"/>
    </xf>
    <xf numFmtId="0" fontId="8" fillId="0" borderId="0" xfId="17" applyFont="1" applyAlignment="1">
      <alignment vertical="top"/>
    </xf>
    <xf numFmtId="0" fontId="10" fillId="0" borderId="0" xfId="17" applyFont="1" applyAlignment="1">
      <alignment horizontal="center" vertical="top"/>
    </xf>
    <xf numFmtId="0" fontId="10" fillId="0" borderId="0" xfId="17" applyFont="1" applyAlignment="1">
      <alignment vertical="top"/>
    </xf>
    <xf numFmtId="0" fontId="30" fillId="0" borderId="0" xfId="0" applyFont="1" applyAlignment="1">
      <alignment vertical="top"/>
    </xf>
    <xf numFmtId="10" fontId="16" fillId="0" borderId="17" xfId="14" applyNumberFormat="1" applyFont="1" applyFill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1" fillId="0" borderId="0" xfId="17" applyFont="1" applyAlignment="1">
      <alignment horizontal="center" vertical="top"/>
    </xf>
    <xf numFmtId="0" fontId="9" fillId="0" borderId="0" xfId="17" applyFont="1" applyAlignment="1">
      <alignment horizontal="center" vertical="top"/>
    </xf>
    <xf numFmtId="0" fontId="9" fillId="0" borderId="0" xfId="17" applyFont="1" applyAlignment="1">
      <alignment vertical="top"/>
    </xf>
    <xf numFmtId="170" fontId="62" fillId="3" borderId="0" xfId="17" applyNumberFormat="1" applyFont="1" applyFill="1" applyAlignment="1">
      <alignment vertical="top"/>
    </xf>
    <xf numFmtId="10" fontId="16" fillId="0" borderId="18" xfId="14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9" fillId="0" borderId="0" xfId="0" applyFont="1" applyAlignment="1">
      <alignment vertical="top"/>
    </xf>
    <xf numFmtId="0" fontId="73" fillId="0" borderId="0" xfId="17" applyFont="1" applyAlignment="1">
      <alignment vertical="top"/>
    </xf>
    <xf numFmtId="0" fontId="62" fillId="0" borderId="0" xfId="17" applyFont="1" applyAlignment="1">
      <alignment horizontal="center" vertical="top"/>
    </xf>
    <xf numFmtId="4" fontId="62" fillId="0" borderId="0" xfId="17" applyNumberFormat="1" applyFont="1" applyAlignment="1">
      <alignment horizontal="center" vertical="top"/>
    </xf>
    <xf numFmtId="170" fontId="62" fillId="0" borderId="2" xfId="17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165" fontId="51" fillId="0" borderId="5" xfId="13" applyFont="1" applyBorder="1" applyAlignment="1">
      <alignment vertical="top"/>
    </xf>
    <xf numFmtId="0" fontId="7" fillId="0" borderId="0" xfId="17" applyFont="1" applyAlignment="1">
      <alignment vertical="top"/>
    </xf>
    <xf numFmtId="0" fontId="7" fillId="0" borderId="0" xfId="17" applyFont="1" applyAlignment="1">
      <alignment horizontal="center" vertical="top"/>
    </xf>
    <xf numFmtId="170" fontId="72" fillId="0" borderId="0" xfId="17" applyNumberFormat="1" applyFont="1" applyAlignment="1">
      <alignment vertical="top"/>
    </xf>
    <xf numFmtId="10" fontId="33" fillId="0" borderId="0" xfId="14" applyNumberFormat="1" applyFont="1" applyAlignment="1">
      <alignment horizontal="center" vertical="center"/>
    </xf>
    <xf numFmtId="0" fontId="71" fillId="0" borderId="0" xfId="17" applyFont="1" applyAlignment="1">
      <alignment vertical="top"/>
    </xf>
    <xf numFmtId="10" fontId="34" fillId="3" borderId="2" xfId="14" applyNumberFormat="1" applyFont="1" applyFill="1" applyBorder="1" applyAlignment="1">
      <alignment horizontal="center" vertical="top" wrapText="1"/>
    </xf>
    <xf numFmtId="4" fontId="70" fillId="0" borderId="0" xfId="17" applyNumberFormat="1" applyFont="1" applyAlignment="1">
      <alignment vertical="top"/>
    </xf>
    <xf numFmtId="10" fontId="34" fillId="3" borderId="2" xfId="14" applyNumberFormat="1" applyFont="1" applyFill="1" applyBorder="1" applyAlignment="1">
      <alignment horizontal="center" vertical="center" wrapText="1"/>
    </xf>
    <xf numFmtId="4" fontId="77" fillId="0" borderId="0" xfId="17" applyNumberFormat="1" applyFont="1"/>
    <xf numFmtId="0" fontId="72" fillId="0" borderId="0" xfId="17" applyFont="1"/>
    <xf numFmtId="10" fontId="34" fillId="0" borderId="17" xfId="14" applyNumberFormat="1" applyFont="1" applyFill="1" applyBorder="1" applyAlignment="1">
      <alignment vertical="top" wrapText="1"/>
    </xf>
    <xf numFmtId="4" fontId="78" fillId="0" borderId="0" xfId="0" applyNumberFormat="1" applyFont="1" applyAlignment="1">
      <alignment vertical="top" wrapText="1"/>
    </xf>
    <xf numFmtId="0" fontId="37" fillId="0" borderId="0" xfId="0" applyFont="1" applyAlignment="1">
      <alignment vertical="top"/>
    </xf>
    <xf numFmtId="10" fontId="34" fillId="3" borderId="15" xfId="14" applyNumberFormat="1" applyFont="1" applyFill="1" applyBorder="1" applyAlignment="1">
      <alignment horizontal="center" vertical="center" wrapText="1"/>
    </xf>
    <xf numFmtId="0" fontId="37" fillId="0" borderId="4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10" fontId="37" fillId="0" borderId="0" xfId="14" applyNumberFormat="1" applyFont="1" applyAlignment="1">
      <alignment horizontal="center" vertical="center"/>
    </xf>
    <xf numFmtId="10" fontId="37" fillId="0" borderId="0" xfId="14" applyNumberFormat="1" applyFont="1" applyBorder="1" applyAlignment="1">
      <alignment horizontal="center" vertical="center" wrapText="1"/>
    </xf>
    <xf numFmtId="10" fontId="37" fillId="0" borderId="0" xfId="14" applyNumberFormat="1" applyFont="1" applyAlignment="1">
      <alignment horizontal="center" vertical="center" wrapText="1"/>
    </xf>
    <xf numFmtId="0" fontId="6" fillId="0" borderId="0" xfId="21" applyAlignment="1">
      <alignment horizontal="center" vertical="top"/>
    </xf>
    <xf numFmtId="0" fontId="6" fillId="0" borderId="0" xfId="21" applyAlignment="1">
      <alignment vertical="top"/>
    </xf>
    <xf numFmtId="0" fontId="62" fillId="0" borderId="0" xfId="21" applyFont="1" applyAlignment="1">
      <alignment vertical="top"/>
    </xf>
    <xf numFmtId="4" fontId="67" fillId="0" borderId="0" xfId="21" applyNumberFormat="1" applyFont="1" applyAlignment="1">
      <alignment vertical="top"/>
    </xf>
    <xf numFmtId="4" fontId="6" fillId="0" borderId="0" xfId="21" applyNumberFormat="1" applyAlignment="1">
      <alignment horizontal="center" vertical="top"/>
    </xf>
    <xf numFmtId="170" fontId="6" fillId="0" borderId="0" xfId="21" applyNumberFormat="1" applyAlignment="1">
      <alignment vertical="top"/>
    </xf>
    <xf numFmtId="0" fontId="6" fillId="0" borderId="0" xfId="21" applyAlignment="1">
      <alignment vertical="top" wrapText="1"/>
    </xf>
    <xf numFmtId="4" fontId="65" fillId="0" borderId="0" xfId="21" applyNumberFormat="1" applyFont="1" applyAlignment="1">
      <alignment vertical="top"/>
    </xf>
    <xf numFmtId="0" fontId="69" fillId="8" borderId="0" xfId="21" applyFont="1" applyFill="1" applyAlignment="1">
      <alignment horizontal="center" vertical="top"/>
    </xf>
    <xf numFmtId="0" fontId="69" fillId="8" borderId="0" xfId="21" applyFont="1" applyFill="1" applyAlignment="1">
      <alignment vertical="top"/>
    </xf>
    <xf numFmtId="4" fontId="70" fillId="8" borderId="0" xfId="21" applyNumberFormat="1" applyFont="1" applyFill="1" applyAlignment="1">
      <alignment vertical="top"/>
    </xf>
    <xf numFmtId="4" fontId="71" fillId="8" borderId="0" xfId="21" applyNumberFormat="1" applyFont="1" applyFill="1" applyAlignment="1">
      <alignment horizontal="center" vertical="top"/>
    </xf>
    <xf numFmtId="170" fontId="71" fillId="8" borderId="0" xfId="21" applyNumberFormat="1" applyFont="1" applyFill="1" applyAlignment="1">
      <alignment vertical="top"/>
    </xf>
    <xf numFmtId="164" fontId="69" fillId="8" borderId="0" xfId="21" applyNumberFormat="1" applyFont="1" applyFill="1" applyAlignment="1">
      <alignment vertical="top" wrapText="1"/>
    </xf>
    <xf numFmtId="10" fontId="34" fillId="0" borderId="2" xfId="22" applyNumberFormat="1" applyFont="1" applyBorder="1" applyAlignment="1">
      <alignment horizontal="center" vertical="top" wrapText="1"/>
    </xf>
    <xf numFmtId="10" fontId="34" fillId="3" borderId="2" xfId="22" applyNumberFormat="1" applyFont="1" applyFill="1" applyBorder="1" applyAlignment="1">
      <alignment horizontal="center" vertical="top" wrapText="1"/>
    </xf>
    <xf numFmtId="0" fontId="72" fillId="0" borderId="0" xfId="21" applyFont="1" applyAlignment="1">
      <alignment horizontal="left" vertical="top" wrapText="1"/>
    </xf>
    <xf numFmtId="10" fontId="16" fillId="0" borderId="17" xfId="22" applyNumberFormat="1" applyFont="1" applyBorder="1" applyAlignment="1">
      <alignment horizontal="center" vertical="top" wrapText="1"/>
    </xf>
    <xf numFmtId="10" fontId="35" fillId="0" borderId="17" xfId="22" applyNumberFormat="1" applyFont="1" applyBorder="1" applyAlignment="1">
      <alignment horizontal="center" vertical="top" wrapText="1"/>
    </xf>
    <xf numFmtId="10" fontId="38" fillId="0" borderId="17" xfId="22" applyNumberFormat="1" applyFont="1" applyBorder="1" applyAlignment="1">
      <alignment horizontal="center" vertical="top" wrapText="1"/>
    </xf>
    <xf numFmtId="10" fontId="34" fillId="0" borderId="17" xfId="22" applyNumberFormat="1" applyFont="1" applyBorder="1" applyAlignment="1">
      <alignment vertical="top" wrapText="1"/>
    </xf>
    <xf numFmtId="0" fontId="67" fillId="0" borderId="0" xfId="21" applyFont="1" applyAlignment="1">
      <alignment horizontal="center" vertical="top"/>
    </xf>
    <xf numFmtId="0" fontId="64" fillId="0" borderId="0" xfId="21" applyFont="1" applyAlignment="1">
      <alignment vertical="top"/>
    </xf>
    <xf numFmtId="170" fontId="66" fillId="0" borderId="0" xfId="21" applyNumberFormat="1" applyFont="1" applyAlignment="1">
      <alignment vertical="top"/>
    </xf>
    <xf numFmtId="170" fontId="62" fillId="0" borderId="0" xfId="21" applyNumberFormat="1" applyFont="1" applyAlignment="1">
      <alignment vertical="top"/>
    </xf>
    <xf numFmtId="10" fontId="37" fillId="0" borderId="17" xfId="22" applyNumberFormat="1" applyFont="1" applyBorder="1" applyAlignment="1">
      <alignment horizontal="center" vertical="top" wrapText="1"/>
    </xf>
    <xf numFmtId="165" fontId="34" fillId="0" borderId="17" xfId="23" applyFont="1" applyBorder="1" applyAlignment="1">
      <alignment vertical="top" wrapText="1"/>
    </xf>
    <xf numFmtId="10" fontId="34" fillId="0" borderId="17" xfId="22" applyNumberFormat="1" applyFont="1" applyBorder="1" applyAlignment="1">
      <alignment horizontal="center" vertical="top" wrapText="1"/>
    </xf>
    <xf numFmtId="0" fontId="65" fillId="0" borderId="0" xfId="21" applyFont="1" applyAlignment="1">
      <alignment horizontal="right" vertical="top"/>
    </xf>
    <xf numFmtId="10" fontId="16" fillId="0" borderId="0" xfId="22" applyNumberFormat="1" applyFont="1" applyBorder="1" applyAlignment="1">
      <alignment horizontal="center" vertical="top" wrapText="1"/>
    </xf>
    <xf numFmtId="10" fontId="37" fillId="0" borderId="0" xfId="22" applyNumberFormat="1" applyFont="1" applyBorder="1" applyAlignment="1">
      <alignment horizontal="center" vertical="top" wrapText="1"/>
    </xf>
    <xf numFmtId="10" fontId="38" fillId="0" borderId="0" xfId="22" applyNumberFormat="1" applyFont="1" applyBorder="1" applyAlignment="1">
      <alignment horizontal="center" vertical="top" wrapText="1"/>
    </xf>
    <xf numFmtId="10" fontId="34" fillId="0" borderId="0" xfId="22" applyNumberFormat="1" applyFont="1" applyBorder="1" applyAlignment="1">
      <alignment vertical="top" wrapText="1"/>
    </xf>
    <xf numFmtId="165" fontId="34" fillId="0" borderId="0" xfId="23" applyFont="1" applyBorder="1" applyAlignment="1">
      <alignment vertical="top" wrapText="1"/>
    </xf>
    <xf numFmtId="0" fontId="73" fillId="0" borderId="0" xfId="21" applyFont="1" applyAlignment="1">
      <alignment vertical="top"/>
    </xf>
    <xf numFmtId="0" fontId="62" fillId="0" borderId="0" xfId="21" applyFont="1" applyAlignment="1">
      <alignment horizontal="center" vertical="top"/>
    </xf>
    <xf numFmtId="4" fontId="62" fillId="0" borderId="0" xfId="21" applyNumberFormat="1" applyFont="1" applyAlignment="1">
      <alignment horizontal="center" vertical="top"/>
    </xf>
    <xf numFmtId="170" fontId="62" fillId="0" borderId="2" xfId="21" applyNumberFormat="1" applyFont="1" applyBorder="1" applyAlignment="1">
      <alignment vertical="top"/>
    </xf>
    <xf numFmtId="165" fontId="51" fillId="0" borderId="5" xfId="23" applyFont="1" applyBorder="1" applyAlignment="1">
      <alignment vertical="top"/>
    </xf>
    <xf numFmtId="10" fontId="16" fillId="0" borderId="18" xfId="22" applyNumberFormat="1" applyFont="1" applyBorder="1" applyAlignment="1">
      <alignment horizontal="center" vertical="top" wrapText="1"/>
    </xf>
    <xf numFmtId="10" fontId="37" fillId="0" borderId="18" xfId="22" applyNumberFormat="1" applyFont="1" applyBorder="1" applyAlignment="1">
      <alignment horizontal="center" vertical="top" wrapText="1"/>
    </xf>
    <xf numFmtId="10" fontId="38" fillId="0" borderId="18" xfId="22" applyNumberFormat="1" applyFont="1" applyBorder="1" applyAlignment="1">
      <alignment horizontal="center" vertical="top" wrapText="1"/>
    </xf>
    <xf numFmtId="10" fontId="34" fillId="0" borderId="18" xfId="22" applyNumberFormat="1" applyFont="1" applyBorder="1" applyAlignment="1">
      <alignment vertical="top" wrapText="1"/>
    </xf>
    <xf numFmtId="165" fontId="34" fillId="0" borderId="18" xfId="23" applyFont="1" applyBorder="1" applyAlignment="1">
      <alignment vertical="top" wrapText="1"/>
    </xf>
    <xf numFmtId="10" fontId="35" fillId="0" borderId="16" xfId="14" applyNumberFormat="1" applyFont="1" applyFill="1" applyBorder="1" applyAlignment="1">
      <alignment horizontal="center" vertical="center" wrapText="1"/>
    </xf>
    <xf numFmtId="10" fontId="37" fillId="0" borderId="16" xfId="14" applyNumberFormat="1" applyFont="1" applyFill="1" applyBorder="1" applyAlignment="1">
      <alignment horizontal="center" vertical="center" wrapText="1"/>
    </xf>
    <xf numFmtId="10" fontId="35" fillId="0" borderId="17" xfId="14" applyNumberFormat="1" applyFont="1" applyFill="1" applyBorder="1" applyAlignment="1">
      <alignment horizontal="center" vertical="center" wrapText="1"/>
    </xf>
    <xf numFmtId="10" fontId="37" fillId="0" borderId="17" xfId="14" applyNumberFormat="1" applyFont="1" applyFill="1" applyBorder="1" applyAlignment="1">
      <alignment horizontal="center" vertical="center" wrapText="1"/>
    </xf>
    <xf numFmtId="10" fontId="37" fillId="0" borderId="17" xfId="14" applyNumberFormat="1" applyFont="1" applyFill="1" applyBorder="1" applyAlignment="1">
      <alignment horizontal="center" vertical="top" wrapText="1"/>
    </xf>
    <xf numFmtId="10" fontId="35" fillId="0" borderId="17" xfId="14" applyNumberFormat="1" applyFont="1" applyFill="1" applyBorder="1" applyAlignment="1">
      <alignment horizontal="center" vertical="top" wrapText="1"/>
    </xf>
    <xf numFmtId="10" fontId="37" fillId="0" borderId="17" xfId="14" applyNumberFormat="1" applyFont="1" applyFill="1" applyBorder="1" applyAlignment="1">
      <alignment horizontal="center" vertical="center"/>
    </xf>
    <xf numFmtId="10" fontId="35" fillId="0" borderId="18" xfId="14" applyNumberFormat="1" applyFont="1" applyFill="1" applyBorder="1" applyAlignment="1">
      <alignment horizontal="center" vertical="center" wrapText="1"/>
    </xf>
    <xf numFmtId="10" fontId="37" fillId="0" borderId="18" xfId="14" applyNumberFormat="1" applyFont="1" applyFill="1" applyBorder="1" applyAlignment="1">
      <alignment horizontal="center" vertical="center" wrapText="1"/>
    </xf>
    <xf numFmtId="10" fontId="38" fillId="0" borderId="17" xfId="14" applyNumberFormat="1" applyFont="1" applyFill="1" applyBorder="1" applyAlignment="1">
      <alignment horizontal="center" vertical="center" wrapText="1"/>
    </xf>
    <xf numFmtId="10" fontId="16" fillId="0" borderId="18" xfId="14" applyNumberFormat="1" applyFont="1" applyFill="1" applyBorder="1" applyAlignment="1">
      <alignment horizontal="center" vertical="center" wrapText="1"/>
    </xf>
    <xf numFmtId="10" fontId="38" fillId="0" borderId="18" xfId="14" applyNumberFormat="1" applyFont="1" applyFill="1" applyBorder="1" applyAlignment="1">
      <alignment horizontal="center" vertical="center" wrapText="1"/>
    </xf>
    <xf numFmtId="0" fontId="37" fillId="10" borderId="0" xfId="0" applyFont="1" applyFill="1" applyAlignment="1">
      <alignment vertical="top"/>
    </xf>
    <xf numFmtId="0" fontId="60" fillId="10" borderId="0" xfId="0" applyFont="1" applyFill="1"/>
    <xf numFmtId="1" fontId="25" fillId="10" borderId="10" xfId="0" applyNumberFormat="1" applyFont="1" applyFill="1" applyBorder="1" applyAlignment="1">
      <alignment horizontal="center" vertical="top"/>
    </xf>
    <xf numFmtId="2" fontId="25" fillId="10" borderId="10" xfId="0" applyNumberFormat="1" applyFont="1" applyFill="1" applyBorder="1" applyAlignment="1">
      <alignment horizontal="center" vertical="top"/>
    </xf>
    <xf numFmtId="2" fontId="16" fillId="10" borderId="10" xfId="1" applyNumberFormat="1" applyFont="1" applyFill="1" applyBorder="1" applyAlignment="1">
      <alignment horizontal="right" vertical="top" wrapText="1"/>
    </xf>
    <xf numFmtId="168" fontId="33" fillId="10" borderId="10" xfId="0" applyNumberFormat="1" applyFont="1" applyFill="1" applyBorder="1" applyAlignment="1">
      <alignment horizontal="center" vertical="top" wrapText="1"/>
    </xf>
    <xf numFmtId="168" fontId="34" fillId="10" borderId="10" xfId="0" applyNumberFormat="1" applyFont="1" applyFill="1" applyBorder="1" applyAlignment="1">
      <alignment horizontal="right" vertical="top" wrapText="1"/>
    </xf>
    <xf numFmtId="2" fontId="16" fillId="10" borderId="10" xfId="0" applyNumberFormat="1" applyFont="1" applyFill="1" applyBorder="1" applyAlignment="1">
      <alignment horizontal="center" vertical="top"/>
    </xf>
    <xf numFmtId="10" fontId="34" fillId="10" borderId="2" xfId="14" applyNumberFormat="1" applyFont="1" applyFill="1" applyBorder="1" applyAlignment="1">
      <alignment horizontal="center" vertical="center" wrapText="1"/>
    </xf>
    <xf numFmtId="0" fontId="30" fillId="10" borderId="0" xfId="0" applyFont="1" applyFill="1"/>
    <xf numFmtId="0" fontId="0" fillId="10" borderId="0" xfId="0" applyFill="1"/>
    <xf numFmtId="1" fontId="16" fillId="10" borderId="10" xfId="0" applyNumberFormat="1" applyFont="1" applyFill="1" applyBorder="1" applyAlignment="1">
      <alignment horizontal="center" vertical="top"/>
    </xf>
    <xf numFmtId="10" fontId="34" fillId="10" borderId="15" xfId="14" applyNumberFormat="1" applyFont="1" applyFill="1" applyBorder="1" applyAlignment="1">
      <alignment horizontal="center" vertical="center" wrapText="1"/>
    </xf>
    <xf numFmtId="0" fontId="61" fillId="10" borderId="10" xfId="0" applyFont="1" applyFill="1" applyBorder="1"/>
    <xf numFmtId="0" fontId="16" fillId="10" borderId="0" xfId="0" applyFont="1" applyFill="1" applyAlignment="1">
      <alignment vertical="top"/>
    </xf>
    <xf numFmtId="0" fontId="16" fillId="10" borderId="10" xfId="0" applyFont="1" applyFill="1" applyBorder="1" applyAlignment="1">
      <alignment horizontal="left" vertical="top"/>
    </xf>
    <xf numFmtId="1" fontId="27" fillId="10" borderId="10" xfId="0" applyNumberFormat="1" applyFont="1" applyFill="1" applyBorder="1" applyAlignment="1">
      <alignment horizontal="center" vertical="top"/>
    </xf>
    <xf numFmtId="165" fontId="34" fillId="10" borderId="17" xfId="13" applyFont="1" applyFill="1" applyBorder="1" applyAlignment="1">
      <alignment vertical="top" wrapText="1"/>
    </xf>
    <xf numFmtId="0" fontId="38" fillId="10" borderId="12" xfId="0" applyFont="1" applyFill="1" applyBorder="1" applyAlignment="1">
      <alignment horizontal="left" vertical="center"/>
    </xf>
    <xf numFmtId="1" fontId="33" fillId="10" borderId="13" xfId="0" applyNumberFormat="1" applyFont="1" applyFill="1" applyBorder="1" applyAlignment="1">
      <alignment horizontal="center" vertical="center"/>
    </xf>
    <xf numFmtId="2" fontId="33" fillId="10" borderId="13" xfId="0" applyNumberFormat="1" applyFont="1" applyFill="1" applyBorder="1" applyAlignment="1">
      <alignment horizontal="center" vertical="center"/>
    </xf>
    <xf numFmtId="4" fontId="33" fillId="10" borderId="13" xfId="0" applyNumberFormat="1" applyFont="1" applyFill="1" applyBorder="1" applyAlignment="1">
      <alignment horizontal="center" vertical="center" wrapText="1"/>
    </xf>
    <xf numFmtId="168" fontId="33" fillId="10" borderId="14" xfId="0" applyNumberFormat="1" applyFont="1" applyFill="1" applyBorder="1" applyAlignment="1">
      <alignment horizontal="right" vertical="center" wrapText="1"/>
    </xf>
    <xf numFmtId="2" fontId="38" fillId="0" borderId="0" xfId="1" applyNumberFormat="1" applyFont="1" applyAlignment="1">
      <alignment vertical="top"/>
    </xf>
    <xf numFmtId="0" fontId="34" fillId="2" borderId="0" xfId="0" applyFont="1" applyFill="1" applyAlignment="1">
      <alignment vertical="top"/>
    </xf>
    <xf numFmtId="0" fontId="36" fillId="2" borderId="0" xfId="0" applyFont="1" applyFill="1" applyAlignment="1">
      <alignment vertical="top" wrapText="1"/>
    </xf>
    <xf numFmtId="0" fontId="16" fillId="2" borderId="10" xfId="0" applyFont="1" applyFill="1" applyBorder="1" applyAlignment="1">
      <alignment horizontal="left" vertical="top"/>
    </xf>
    <xf numFmtId="1" fontId="27" fillId="2" borderId="10" xfId="0" applyNumberFormat="1" applyFont="1" applyFill="1" applyBorder="1" applyAlignment="1">
      <alignment horizontal="center" vertical="top"/>
    </xf>
    <xf numFmtId="2" fontId="16" fillId="2" borderId="10" xfId="0" applyNumberFormat="1" applyFont="1" applyFill="1" applyBorder="1" applyAlignment="1">
      <alignment horizontal="center" vertical="top"/>
    </xf>
    <xf numFmtId="1" fontId="16" fillId="2" borderId="10" xfId="0" applyNumberFormat="1" applyFont="1" applyFill="1" applyBorder="1" applyAlignment="1">
      <alignment horizontal="center" vertical="top"/>
    </xf>
    <xf numFmtId="168" fontId="33" fillId="2" borderId="10" xfId="0" applyNumberFormat="1" applyFont="1" applyFill="1" applyBorder="1" applyAlignment="1">
      <alignment horizontal="center" vertical="top" wrapText="1"/>
    </xf>
    <xf numFmtId="168" fontId="34" fillId="2" borderId="10" xfId="0" applyNumberFormat="1" applyFont="1" applyFill="1" applyBorder="1" applyAlignment="1">
      <alignment horizontal="right" vertical="top" wrapText="1"/>
    </xf>
    <xf numFmtId="0" fontId="5" fillId="0" borderId="0" xfId="17" applyFont="1"/>
    <xf numFmtId="10" fontId="35" fillId="10" borderId="2" xfId="14" applyNumberFormat="1" applyFont="1" applyFill="1" applyBorder="1" applyAlignment="1">
      <alignment horizontal="center" vertical="top" wrapText="1"/>
    </xf>
    <xf numFmtId="10" fontId="38" fillId="0" borderId="17" xfId="14" applyNumberFormat="1" applyFont="1" applyFill="1" applyBorder="1" applyAlignment="1">
      <alignment horizontal="center" vertical="top" wrapText="1"/>
    </xf>
    <xf numFmtId="10" fontId="37" fillId="0" borderId="18" xfId="14" applyNumberFormat="1" applyFont="1" applyFill="1" applyBorder="1" applyAlignment="1">
      <alignment horizontal="center" vertical="top" wrapText="1"/>
    </xf>
    <xf numFmtId="10" fontId="16" fillId="0" borderId="18" xfId="14" applyNumberFormat="1" applyFont="1" applyFill="1" applyBorder="1" applyAlignment="1">
      <alignment horizontal="center" vertical="top" wrapText="1"/>
    </xf>
    <xf numFmtId="10" fontId="34" fillId="10" borderId="2" xfId="22" applyNumberFormat="1" applyFont="1" applyFill="1" applyBorder="1" applyAlignment="1">
      <alignment horizontal="center" vertical="top" wrapText="1"/>
    </xf>
    <xf numFmtId="10" fontId="35" fillId="10" borderId="2" xfId="14" applyNumberFormat="1" applyFont="1" applyFill="1" applyBorder="1" applyAlignment="1">
      <alignment horizontal="center" vertical="center" wrapText="1"/>
    </xf>
    <xf numFmtId="170" fontId="6" fillId="0" borderId="0" xfId="21" applyNumberFormat="1" applyAlignment="1">
      <alignment vertical="top" wrapText="1"/>
    </xf>
    <xf numFmtId="0" fontId="35" fillId="0" borderId="4" xfId="0" applyFont="1" applyBorder="1" applyAlignment="1">
      <alignment vertical="top" wrapText="1"/>
    </xf>
    <xf numFmtId="0" fontId="35" fillId="0" borderId="0" xfId="0" applyFont="1" applyAlignment="1">
      <alignment vertical="top" wrapText="1"/>
    </xf>
    <xf numFmtId="0" fontId="35" fillId="0" borderId="0" xfId="0" applyFont="1" applyAlignment="1">
      <alignment vertical="top"/>
    </xf>
    <xf numFmtId="10" fontId="35" fillId="0" borderId="16" xfId="14" applyNumberFormat="1" applyFont="1" applyBorder="1" applyAlignment="1">
      <alignment horizontal="center" vertical="center" wrapText="1"/>
    </xf>
    <xf numFmtId="10" fontId="35" fillId="0" borderId="17" xfId="14" applyNumberFormat="1" applyFont="1" applyBorder="1" applyAlignment="1">
      <alignment horizontal="center" vertical="top" wrapText="1"/>
    </xf>
    <xf numFmtId="10" fontId="35" fillId="0" borderId="17" xfId="14" applyNumberFormat="1" applyFont="1" applyBorder="1" applyAlignment="1">
      <alignment horizontal="center" vertical="center"/>
    </xf>
    <xf numFmtId="10" fontId="35" fillId="0" borderId="18" xfId="14" applyNumberFormat="1" applyFont="1" applyBorder="1" applyAlignment="1">
      <alignment horizontal="center" vertical="center" wrapText="1"/>
    </xf>
    <xf numFmtId="10" fontId="34" fillId="2" borderId="15" xfId="14" applyNumberFormat="1" applyFont="1" applyFill="1" applyBorder="1" applyAlignment="1">
      <alignment horizontal="center" vertical="center" wrapText="1"/>
    </xf>
    <xf numFmtId="10" fontId="34" fillId="2" borderId="2" xfId="14" applyNumberFormat="1" applyFont="1" applyFill="1" applyBorder="1" applyAlignment="1">
      <alignment horizontal="center" vertical="center" wrapText="1"/>
    </xf>
    <xf numFmtId="10" fontId="37" fillId="2" borderId="2" xfId="14" applyNumberFormat="1" applyFont="1" applyFill="1" applyBorder="1" applyAlignment="1">
      <alignment horizontal="center" vertical="center" wrapText="1"/>
    </xf>
    <xf numFmtId="10" fontId="35" fillId="0" borderId="2" xfId="14" applyNumberFormat="1" applyFont="1" applyBorder="1" applyAlignment="1">
      <alignment horizontal="center" vertical="center" wrapText="1"/>
    </xf>
    <xf numFmtId="10" fontId="38" fillId="0" borderId="17" xfId="14" applyNumberFormat="1" applyFont="1" applyBorder="1" applyAlignment="1">
      <alignment horizontal="center" vertical="top" wrapText="1"/>
    </xf>
    <xf numFmtId="0" fontId="71" fillId="0" borderId="0" xfId="17" applyFont="1"/>
    <xf numFmtId="4" fontId="70" fillId="0" borderId="0" xfId="17" applyNumberFormat="1" applyFont="1"/>
    <xf numFmtId="10" fontId="34" fillId="2" borderId="2" xfId="14" applyNumberFormat="1" applyFont="1" applyFill="1" applyBorder="1" applyAlignment="1">
      <alignment horizontal="center" vertical="top" wrapText="1"/>
    </xf>
    <xf numFmtId="0" fontId="71" fillId="0" borderId="0" xfId="21" applyFont="1" applyAlignment="1">
      <alignment vertical="top"/>
    </xf>
    <xf numFmtId="10" fontId="34" fillId="2" borderId="2" xfId="22" applyNumberFormat="1" applyFont="1" applyFill="1" applyBorder="1" applyAlignment="1">
      <alignment horizontal="center" vertical="top" wrapText="1"/>
    </xf>
    <xf numFmtId="4" fontId="70" fillId="0" borderId="0" xfId="21" applyNumberFormat="1" applyFont="1" applyAlignment="1">
      <alignment vertical="top"/>
    </xf>
    <xf numFmtId="10" fontId="34" fillId="0" borderId="0" xfId="22" applyNumberFormat="1" applyFont="1" applyBorder="1" applyAlignment="1">
      <alignment horizontal="center" vertical="top" wrapText="1"/>
    </xf>
    <xf numFmtId="10" fontId="35" fillId="11" borderId="15" xfId="14" applyNumberFormat="1" applyFont="1" applyFill="1" applyBorder="1" applyAlignment="1">
      <alignment horizontal="center" vertical="center" wrapText="1"/>
    </xf>
    <xf numFmtId="0" fontId="36" fillId="11" borderId="0" xfId="1" applyFont="1" applyFill="1" applyAlignment="1">
      <alignment vertical="top" wrapText="1"/>
    </xf>
    <xf numFmtId="10" fontId="35" fillId="11" borderId="2" xfId="14" applyNumberFormat="1" applyFont="1" applyFill="1" applyBorder="1" applyAlignment="1">
      <alignment horizontal="center" vertical="center" wrapText="1"/>
    </xf>
    <xf numFmtId="0" fontId="66" fillId="0" borderId="0" xfId="17" applyFont="1" applyAlignment="1">
      <alignment vertical="top"/>
    </xf>
    <xf numFmtId="10" fontId="33" fillId="0" borderId="17" xfId="14" applyNumberFormat="1" applyFont="1" applyBorder="1" applyAlignment="1">
      <alignment horizontal="center" vertical="top" wrapText="1"/>
    </xf>
    <xf numFmtId="0" fontId="80" fillId="0" borderId="0" xfId="0" applyFont="1" applyAlignment="1">
      <alignment vertical="top"/>
    </xf>
    <xf numFmtId="10" fontId="35" fillId="11" borderId="2" xfId="14" applyNumberFormat="1" applyFont="1" applyFill="1" applyBorder="1" applyAlignment="1">
      <alignment horizontal="center" vertical="top" wrapText="1"/>
    </xf>
    <xf numFmtId="10" fontId="38" fillId="0" borderId="18" xfId="14" applyNumberFormat="1" applyFont="1" applyBorder="1" applyAlignment="1">
      <alignment horizontal="center" vertical="top" wrapText="1"/>
    </xf>
    <xf numFmtId="10" fontId="35" fillId="11" borderId="2" xfId="22" applyNumberFormat="1" applyFont="1" applyFill="1" applyBorder="1" applyAlignment="1">
      <alignment horizontal="center" vertical="top" wrapText="1"/>
    </xf>
    <xf numFmtId="10" fontId="38" fillId="11" borderId="17" xfId="22" applyNumberFormat="1" applyFont="1" applyFill="1" applyBorder="1" applyAlignment="1">
      <alignment horizontal="center" vertical="top" wrapText="1"/>
    </xf>
    <xf numFmtId="10" fontId="35" fillId="0" borderId="0" xfId="22" applyNumberFormat="1" applyFont="1" applyBorder="1" applyAlignment="1">
      <alignment horizontal="center" vertical="top" wrapText="1"/>
    </xf>
    <xf numFmtId="4" fontId="13" fillId="11" borderId="0" xfId="17" applyNumberFormat="1" applyFill="1" applyAlignment="1">
      <alignment horizontal="center" vertical="top"/>
    </xf>
    <xf numFmtId="0" fontId="2" fillId="0" borderId="0" xfId="28" applyAlignment="1">
      <alignment horizontal="center" vertical="top"/>
    </xf>
    <xf numFmtId="0" fontId="2" fillId="0" borderId="0" xfId="28" applyAlignment="1">
      <alignment vertical="top"/>
    </xf>
    <xf numFmtId="0" fontId="62" fillId="0" borderId="0" xfId="28" applyFont="1" applyAlignment="1">
      <alignment vertical="top"/>
    </xf>
    <xf numFmtId="4" fontId="67" fillId="0" borderId="0" xfId="28" applyNumberFormat="1" applyFont="1" applyAlignment="1">
      <alignment vertical="top"/>
    </xf>
    <xf numFmtId="4" fontId="2" fillId="0" borderId="0" xfId="28" applyNumberFormat="1" applyAlignment="1">
      <alignment horizontal="center" vertical="top"/>
    </xf>
    <xf numFmtId="170" fontId="2" fillId="0" borderId="0" xfId="28" applyNumberFormat="1" applyAlignment="1">
      <alignment vertical="top"/>
    </xf>
    <xf numFmtId="0" fontId="2" fillId="0" borderId="0" xfId="28" applyAlignment="1">
      <alignment vertical="top" wrapText="1"/>
    </xf>
    <xf numFmtId="4" fontId="65" fillId="0" borderId="0" xfId="28" applyNumberFormat="1" applyFont="1" applyAlignment="1">
      <alignment vertical="top"/>
    </xf>
    <xf numFmtId="0" fontId="71" fillId="0" borderId="0" xfId="28" applyFont="1" applyAlignment="1">
      <alignment vertical="top"/>
    </xf>
    <xf numFmtId="0" fontId="72" fillId="0" borderId="0" xfId="28" applyFont="1" applyAlignment="1">
      <alignment vertical="top"/>
    </xf>
    <xf numFmtId="0" fontId="69" fillId="8" borderId="0" xfId="28" applyFont="1" applyFill="1" applyAlignment="1">
      <alignment horizontal="center" vertical="top"/>
    </xf>
    <xf numFmtId="0" fontId="69" fillId="8" borderId="0" xfId="28" applyFont="1" applyFill="1" applyAlignment="1">
      <alignment vertical="top"/>
    </xf>
    <xf numFmtId="4" fontId="70" fillId="8" borderId="0" xfId="28" applyNumberFormat="1" applyFont="1" applyFill="1" applyAlignment="1">
      <alignment vertical="top"/>
    </xf>
    <xf numFmtId="4" fontId="71" fillId="8" borderId="0" xfId="28" applyNumberFormat="1" applyFont="1" applyFill="1" applyAlignment="1">
      <alignment horizontal="center" vertical="top"/>
    </xf>
    <xf numFmtId="170" fontId="71" fillId="8" borderId="0" xfId="28" applyNumberFormat="1" applyFont="1" applyFill="1" applyAlignment="1">
      <alignment vertical="top"/>
    </xf>
    <xf numFmtId="164" fontId="69" fillId="8" borderId="0" xfId="28" applyNumberFormat="1" applyFont="1" applyFill="1" applyAlignment="1">
      <alignment vertical="top" wrapText="1"/>
    </xf>
    <xf numFmtId="0" fontId="72" fillId="0" borderId="0" xfId="28" applyFont="1" applyAlignment="1">
      <alignment horizontal="left" vertical="top" wrapText="1"/>
    </xf>
    <xf numFmtId="0" fontId="67" fillId="0" borderId="0" xfId="28" applyFont="1" applyAlignment="1">
      <alignment horizontal="center" vertical="top"/>
    </xf>
    <xf numFmtId="0" fontId="64" fillId="0" borderId="0" xfId="28" applyFont="1" applyAlignment="1">
      <alignment vertical="top"/>
    </xf>
    <xf numFmtId="170" fontId="66" fillId="0" borderId="0" xfId="28" applyNumberFormat="1" applyFont="1" applyAlignment="1">
      <alignment vertical="top"/>
    </xf>
    <xf numFmtId="170" fontId="62" fillId="0" borderId="0" xfId="28" applyNumberFormat="1" applyFont="1" applyAlignment="1">
      <alignment vertical="top"/>
    </xf>
    <xf numFmtId="0" fontId="2" fillId="0" borderId="0" xfId="29" applyAlignment="1">
      <alignment vertical="top"/>
    </xf>
    <xf numFmtId="0" fontId="2" fillId="0" borderId="0" xfId="29" applyAlignment="1">
      <alignment horizontal="center" vertical="top"/>
    </xf>
    <xf numFmtId="4" fontId="65" fillId="0" borderId="0" xfId="29" applyNumberFormat="1" applyFont="1" applyAlignment="1">
      <alignment vertical="top"/>
    </xf>
    <xf numFmtId="170" fontId="66" fillId="0" borderId="0" xfId="29" applyNumberFormat="1" applyFont="1" applyAlignment="1">
      <alignment vertical="top"/>
    </xf>
    <xf numFmtId="170" fontId="62" fillId="0" borderId="0" xfId="29" applyNumberFormat="1" applyFont="1" applyAlignment="1">
      <alignment vertical="top"/>
    </xf>
    <xf numFmtId="0" fontId="72" fillId="0" borderId="0" xfId="29" applyFont="1" applyAlignment="1">
      <alignment horizontal="left" vertical="top" wrapText="1"/>
    </xf>
    <xf numFmtId="4" fontId="2" fillId="0" borderId="0" xfId="29" applyNumberFormat="1" applyAlignment="1">
      <alignment horizontal="center" vertical="top"/>
    </xf>
    <xf numFmtId="10" fontId="38" fillId="0" borderId="17" xfId="22" applyNumberFormat="1" applyFont="1" applyFill="1" applyBorder="1" applyAlignment="1">
      <alignment horizontal="center" vertical="top" wrapText="1"/>
    </xf>
    <xf numFmtId="0" fontId="65" fillId="0" borderId="0" xfId="28" applyFont="1" applyAlignment="1">
      <alignment horizontal="right" vertical="top"/>
    </xf>
    <xf numFmtId="0" fontId="67" fillId="0" borderId="0" xfId="28" applyFont="1" applyAlignment="1">
      <alignment vertical="top"/>
    </xf>
    <xf numFmtId="0" fontId="79" fillId="0" borderId="0" xfId="28" applyFont="1" applyAlignment="1">
      <alignment horizontal="center" vertical="top"/>
    </xf>
    <xf numFmtId="0" fontId="64" fillId="0" borderId="0" xfId="28" applyFont="1" applyAlignment="1">
      <alignment vertical="top" wrapText="1"/>
    </xf>
    <xf numFmtId="0" fontId="73" fillId="0" borderId="0" xfId="28" applyFont="1" applyAlignment="1">
      <alignment vertical="top"/>
    </xf>
    <xf numFmtId="0" fontId="62" fillId="0" borderId="0" xfId="28" applyFont="1" applyAlignment="1">
      <alignment horizontal="center" vertical="top"/>
    </xf>
    <xf numFmtId="4" fontId="62" fillId="0" borderId="0" xfId="28" applyNumberFormat="1" applyFont="1" applyAlignment="1">
      <alignment horizontal="center" vertical="top"/>
    </xf>
    <xf numFmtId="170" fontId="62" fillId="0" borderId="2" xfId="28" applyNumberFormat="1" applyFont="1" applyBorder="1" applyAlignment="1">
      <alignment vertical="top"/>
    </xf>
    <xf numFmtId="170" fontId="2" fillId="0" borderId="0" xfId="28" applyNumberFormat="1" applyAlignment="1">
      <alignment vertical="top" wrapText="1"/>
    </xf>
    <xf numFmtId="4" fontId="70" fillId="0" borderId="0" xfId="28" applyNumberFormat="1" applyFont="1" applyAlignment="1">
      <alignment vertical="top"/>
    </xf>
    <xf numFmtId="4" fontId="77" fillId="0" borderId="0" xfId="28" applyNumberFormat="1" applyFont="1" applyAlignment="1">
      <alignment vertical="top"/>
    </xf>
    <xf numFmtId="0" fontId="72" fillId="11" borderId="0" xfId="17" applyFont="1" applyFill="1" applyAlignment="1">
      <alignment horizontal="left" vertical="top" wrapText="1"/>
    </xf>
    <xf numFmtId="0" fontId="38" fillId="0" borderId="0" xfId="0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center" vertical="center" wrapText="1"/>
    </xf>
    <xf numFmtId="168" fontId="33" fillId="0" borderId="0" xfId="0" applyNumberFormat="1" applyFont="1" applyAlignment="1">
      <alignment horizontal="right" vertical="center" wrapText="1"/>
    </xf>
    <xf numFmtId="0" fontId="38" fillId="11" borderId="12" xfId="0" applyFont="1" applyFill="1" applyBorder="1" applyAlignment="1">
      <alignment horizontal="left" vertical="center"/>
    </xf>
    <xf numFmtId="1" fontId="33" fillId="11" borderId="13" xfId="0" applyNumberFormat="1" applyFont="1" applyFill="1" applyBorder="1" applyAlignment="1">
      <alignment horizontal="center" vertical="center"/>
    </xf>
    <xf numFmtId="2" fontId="33" fillId="11" borderId="13" xfId="0" applyNumberFormat="1" applyFont="1" applyFill="1" applyBorder="1" applyAlignment="1">
      <alignment horizontal="center" vertical="center"/>
    </xf>
    <xf numFmtId="4" fontId="33" fillId="11" borderId="13" xfId="0" applyNumberFormat="1" applyFont="1" applyFill="1" applyBorder="1" applyAlignment="1">
      <alignment horizontal="center" vertical="center" wrapText="1"/>
    </xf>
    <xf numFmtId="168" fontId="33" fillId="11" borderId="14" xfId="0" applyNumberFormat="1" applyFont="1" applyFill="1" applyBorder="1" applyAlignment="1">
      <alignment horizontal="right" vertical="center" wrapText="1"/>
    </xf>
    <xf numFmtId="165" fontId="34" fillId="11" borderId="17" xfId="13" applyFont="1" applyFill="1" applyBorder="1" applyAlignment="1">
      <alignment vertical="top" wrapText="1"/>
    </xf>
    <xf numFmtId="10" fontId="16" fillId="0" borderId="17" xfId="22" applyNumberFormat="1" applyFont="1" applyFill="1" applyBorder="1" applyAlignment="1">
      <alignment horizontal="center" vertical="top" wrapText="1"/>
    </xf>
    <xf numFmtId="10" fontId="34" fillId="0" borderId="17" xfId="22" applyNumberFormat="1" applyFont="1" applyFill="1" applyBorder="1" applyAlignment="1">
      <alignment vertical="top" wrapText="1"/>
    </xf>
    <xf numFmtId="165" fontId="34" fillId="0" borderId="17" xfId="23" applyFont="1" applyFill="1" applyBorder="1" applyAlignment="1">
      <alignment vertical="top" wrapText="1"/>
    </xf>
    <xf numFmtId="0" fontId="36" fillId="11" borderId="0" xfId="0" applyFont="1" applyFill="1" applyAlignment="1">
      <alignment vertical="top" wrapText="1"/>
    </xf>
    <xf numFmtId="10" fontId="35" fillId="0" borderId="17" xfId="14" applyNumberFormat="1" applyFont="1" applyFill="1" applyBorder="1" applyAlignment="1">
      <alignment horizontal="center" vertical="center"/>
    </xf>
    <xf numFmtId="2" fontId="35" fillId="11" borderId="10" xfId="0" applyNumberFormat="1" applyFont="1" applyFill="1" applyBorder="1" applyAlignment="1">
      <alignment horizontal="center" vertical="top"/>
    </xf>
    <xf numFmtId="168" fontId="33" fillId="11" borderId="10" xfId="0" applyNumberFormat="1" applyFont="1" applyFill="1" applyBorder="1" applyAlignment="1">
      <alignment horizontal="center" vertical="top" wrapText="1"/>
    </xf>
    <xf numFmtId="168" fontId="34" fillId="11" borderId="10" xfId="0" applyNumberFormat="1" applyFont="1" applyFill="1" applyBorder="1" applyAlignment="1">
      <alignment horizontal="right" vertical="top" wrapText="1"/>
    </xf>
    <xf numFmtId="0" fontId="35" fillId="11" borderId="10" xfId="0" applyFont="1" applyFill="1" applyBorder="1" applyAlignment="1">
      <alignment vertical="top" wrapText="1"/>
    </xf>
    <xf numFmtId="0" fontId="39" fillId="11" borderId="0" xfId="0" applyFont="1" applyFill="1" applyAlignment="1">
      <alignment vertical="top" wrapText="1"/>
    </xf>
    <xf numFmtId="170" fontId="66" fillId="11" borderId="0" xfId="28" applyNumberFormat="1" applyFont="1" applyFill="1" applyAlignment="1">
      <alignment vertical="top"/>
    </xf>
    <xf numFmtId="4" fontId="65" fillId="11" borderId="0" xfId="28" applyNumberFormat="1" applyFont="1" applyFill="1" applyAlignment="1">
      <alignment vertical="top"/>
    </xf>
    <xf numFmtId="4" fontId="2" fillId="11" borderId="0" xfId="28" applyNumberFormat="1" applyFill="1" applyAlignment="1">
      <alignment horizontal="center" vertical="top"/>
    </xf>
    <xf numFmtId="0" fontId="1" fillId="11" borderId="0" xfId="28" applyFont="1" applyFill="1" applyAlignment="1">
      <alignment horizontal="center" vertical="top"/>
    </xf>
    <xf numFmtId="4" fontId="1" fillId="11" borderId="0" xfId="28" applyNumberFormat="1" applyFont="1" applyFill="1" applyAlignment="1">
      <alignment horizontal="center" vertical="top"/>
    </xf>
    <xf numFmtId="170" fontId="62" fillId="11" borderId="0" xfId="28" applyNumberFormat="1" applyFont="1" applyFill="1" applyAlignment="1">
      <alignment vertical="top"/>
    </xf>
    <xf numFmtId="0" fontId="72" fillId="11" borderId="0" xfId="28" applyFont="1" applyFill="1" applyAlignment="1">
      <alignment horizontal="left" vertical="top" wrapText="1"/>
    </xf>
    <xf numFmtId="0" fontId="1" fillId="0" borderId="0" xfId="28" applyFont="1" applyAlignment="1">
      <alignment vertical="top"/>
    </xf>
    <xf numFmtId="0" fontId="13" fillId="0" borderId="19" xfId="17" applyBorder="1" applyAlignment="1">
      <alignment horizontal="left"/>
    </xf>
    <xf numFmtId="0" fontId="13" fillId="0" borderId="4" xfId="17" applyBorder="1" applyAlignment="1">
      <alignment horizontal="left"/>
    </xf>
    <xf numFmtId="0" fontId="13" fillId="0" borderId="20" xfId="17" applyBorder="1" applyAlignment="1">
      <alignment horizontal="left"/>
    </xf>
    <xf numFmtId="0" fontId="13" fillId="0" borderId="21" xfId="17" applyBorder="1" applyAlignment="1">
      <alignment horizontal="left"/>
    </xf>
    <xf numFmtId="0" fontId="13" fillId="0" borderId="0" xfId="17" applyAlignment="1">
      <alignment horizontal="left"/>
    </xf>
    <xf numFmtId="0" fontId="13" fillId="0" borderId="22" xfId="17" applyBorder="1" applyAlignment="1">
      <alignment horizontal="left"/>
    </xf>
    <xf numFmtId="0" fontId="13" fillId="0" borderId="23" xfId="17" applyBorder="1" applyAlignment="1">
      <alignment horizontal="left"/>
    </xf>
    <xf numFmtId="0" fontId="13" fillId="0" borderId="6" xfId="17" applyBorder="1" applyAlignment="1">
      <alignment horizontal="left"/>
    </xf>
    <xf numFmtId="0" fontId="13" fillId="0" borderId="24" xfId="17" applyBorder="1" applyAlignment="1">
      <alignment horizontal="left"/>
    </xf>
    <xf numFmtId="0" fontId="13" fillId="0" borderId="19" xfId="17" applyBorder="1" applyAlignment="1">
      <alignment horizontal="left" vertical="top"/>
    </xf>
    <xf numFmtId="0" fontId="13" fillId="0" borderId="4" xfId="17" applyBorder="1" applyAlignment="1">
      <alignment horizontal="left" vertical="top"/>
    </xf>
    <xf numFmtId="0" fontId="13" fillId="0" borderId="20" xfId="17" applyBorder="1" applyAlignment="1">
      <alignment horizontal="left" vertical="top"/>
    </xf>
    <xf numFmtId="0" fontId="13" fillId="0" borderId="21" xfId="17" applyBorder="1" applyAlignment="1">
      <alignment horizontal="left" vertical="top"/>
    </xf>
    <xf numFmtId="0" fontId="13" fillId="0" borderId="0" xfId="17" applyAlignment="1">
      <alignment horizontal="left" vertical="top"/>
    </xf>
    <xf numFmtId="0" fontId="13" fillId="0" borderId="22" xfId="17" applyBorder="1" applyAlignment="1">
      <alignment horizontal="left" vertical="top"/>
    </xf>
    <xf numFmtId="0" fontId="13" fillId="0" borderId="23" xfId="17" applyBorder="1" applyAlignment="1">
      <alignment horizontal="left" vertical="top"/>
    </xf>
    <xf numFmtId="0" fontId="13" fillId="0" borderId="6" xfId="17" applyBorder="1" applyAlignment="1">
      <alignment horizontal="left" vertical="top"/>
    </xf>
    <xf numFmtId="0" fontId="13" fillId="0" borderId="24" xfId="17" applyBorder="1" applyAlignment="1">
      <alignment horizontal="left" vertical="top"/>
    </xf>
    <xf numFmtId="0" fontId="6" fillId="0" borderId="19" xfId="21" applyBorder="1" applyAlignment="1">
      <alignment horizontal="left" vertical="top"/>
    </xf>
    <xf numFmtId="0" fontId="6" fillId="0" borderId="4" xfId="21" applyBorder="1" applyAlignment="1">
      <alignment horizontal="left" vertical="top"/>
    </xf>
    <xf numFmtId="0" fontId="6" fillId="0" borderId="20" xfId="21" applyBorder="1" applyAlignment="1">
      <alignment horizontal="left" vertical="top"/>
    </xf>
    <xf numFmtId="0" fontId="6" fillId="0" borderId="21" xfId="21" applyBorder="1" applyAlignment="1">
      <alignment horizontal="left" vertical="top"/>
    </xf>
    <xf numFmtId="0" fontId="6" fillId="0" borderId="0" xfId="21" applyAlignment="1">
      <alignment horizontal="left" vertical="top"/>
    </xf>
    <xf numFmtId="0" fontId="6" fillId="0" borderId="22" xfId="21" applyBorder="1" applyAlignment="1">
      <alignment horizontal="left" vertical="top"/>
    </xf>
    <xf numFmtId="0" fontId="6" fillId="0" borderId="23" xfId="21" applyBorder="1" applyAlignment="1">
      <alignment horizontal="left" vertical="top"/>
    </xf>
    <xf numFmtId="0" fontId="6" fillId="0" borderId="6" xfId="21" applyBorder="1" applyAlignment="1">
      <alignment horizontal="left" vertical="top"/>
    </xf>
    <xf numFmtId="0" fontId="6" fillId="0" borderId="24" xfId="21" applyBorder="1" applyAlignment="1">
      <alignment horizontal="left" vertical="top"/>
    </xf>
    <xf numFmtId="0" fontId="2" fillId="0" borderId="19" xfId="28" applyBorder="1" applyAlignment="1">
      <alignment horizontal="left" vertical="top"/>
    </xf>
    <xf numFmtId="0" fontId="2" fillId="0" borderId="4" xfId="28" applyBorder="1" applyAlignment="1">
      <alignment horizontal="left" vertical="top"/>
    </xf>
    <xf numFmtId="0" fontId="2" fillId="0" borderId="20" xfId="28" applyBorder="1" applyAlignment="1">
      <alignment horizontal="left" vertical="top"/>
    </xf>
    <xf numFmtId="0" fontId="2" fillId="0" borderId="21" xfId="28" applyBorder="1" applyAlignment="1">
      <alignment horizontal="left" vertical="top"/>
    </xf>
    <xf numFmtId="0" fontId="2" fillId="0" borderId="0" xfId="28" applyAlignment="1">
      <alignment horizontal="left" vertical="top"/>
    </xf>
    <xf numFmtId="0" fontId="2" fillId="0" borderId="22" xfId="28" applyBorder="1" applyAlignment="1">
      <alignment horizontal="left" vertical="top"/>
    </xf>
    <xf numFmtId="0" fontId="2" fillId="0" borderId="23" xfId="28" applyBorder="1" applyAlignment="1">
      <alignment horizontal="left" vertical="top"/>
    </xf>
    <xf numFmtId="0" fontId="2" fillId="0" borderId="6" xfId="28" applyBorder="1" applyAlignment="1">
      <alignment horizontal="left" vertical="top"/>
    </xf>
    <xf numFmtId="0" fontId="2" fillId="0" borderId="24" xfId="28" applyBorder="1" applyAlignment="1">
      <alignment horizontal="left" vertical="top"/>
    </xf>
  </cellXfs>
  <cellStyles count="30">
    <cellStyle name="Excel Built-in Normal" xfId="1" xr:uid="{00000000-0005-0000-0000-000000000000}"/>
    <cellStyle name="Excel Built-in Normal 2" xfId="6" xr:uid="{55C04F72-992D-4445-92D9-5D778627572C}"/>
    <cellStyle name="Lien hypertexte 2" xfId="3" xr:uid="{0FAF7715-946B-439E-9D30-927AB5A26920}"/>
    <cellStyle name="Lien hypertexte 3" xfId="18" xr:uid="{68681149-4B3F-4B42-84A1-10F1BBCD30DE}"/>
    <cellStyle name="Monétaire" xfId="13" builtinId="4"/>
    <cellStyle name="Monétaire 2" xfId="23" xr:uid="{8D88A787-CFB7-43BD-9334-8355981F7271}"/>
    <cellStyle name="Normal" xfId="0" builtinId="0"/>
    <cellStyle name="Normal 2" xfId="2" xr:uid="{D08E5575-1725-4559-9DF7-297F860E45E5}"/>
    <cellStyle name="Normal 3" xfId="4" xr:uid="{A34CCD17-D46F-44AB-873C-4E7AFA8AF9DF}"/>
    <cellStyle name="Normal 3 2" xfId="8" xr:uid="{43338C1F-E7A9-45F2-808A-E79BA7362960}"/>
    <cellStyle name="Normal 3 2 2" xfId="12" xr:uid="{55A86159-9EA5-49F6-9566-BF27D68B23A2}"/>
    <cellStyle name="Normal 3 3" xfId="10" xr:uid="{FA5BAE3A-B6F2-467A-8812-B24E124CD077}"/>
    <cellStyle name="Normal 3 3 2" xfId="15" xr:uid="{F12E4397-E6BF-4CB2-9BEA-C97003A2D245}"/>
    <cellStyle name="Normal 3 3 3" xfId="19" xr:uid="{1CC66346-6532-4464-84FE-C55A9A7113A8}"/>
    <cellStyle name="Normal 4" xfId="5" xr:uid="{0424ADCE-F3D3-4CFF-831D-98BFB43561B0}"/>
    <cellStyle name="Normal 4 2" xfId="9" xr:uid="{191C23E6-3B6F-4ED2-B9DD-59CF932A46DA}"/>
    <cellStyle name="Normal 4 3" xfId="11" xr:uid="{7CBDA1AC-958E-4ABA-B64E-12571B07817F}"/>
    <cellStyle name="Normal 4 3 2" xfId="16" xr:uid="{DD519F35-E8D5-40A2-AA02-3518947D1659}"/>
    <cellStyle name="Normal 4 3 3" xfId="20" xr:uid="{EC112796-99DC-4118-9695-DB984E4460BE}"/>
    <cellStyle name="Normal 5" xfId="7" xr:uid="{A27A7A8F-6968-4F41-AEC0-63FE70730F58}"/>
    <cellStyle name="Normal 6" xfId="17" xr:uid="{97EBE10A-8FEB-4451-8D8C-C21AB227B83A}"/>
    <cellStyle name="Normal 6 2" xfId="21" xr:uid="{DAD7E7E7-CA6F-42CE-95E8-1E03B0DF7BB7}"/>
    <cellStyle name="Normal 6 2 2" xfId="25" xr:uid="{F2AD1700-4BBB-4CF1-A7CC-9B03CC1E2A51}"/>
    <cellStyle name="Normal 6 2 3" xfId="27" xr:uid="{672A97DE-F8A1-45E3-977F-E94857AF8579}"/>
    <cellStyle name="Normal 6 2 4" xfId="29" xr:uid="{2A078783-8F82-4718-9203-4AA0E77295E9}"/>
    <cellStyle name="Normal 6 3" xfId="24" xr:uid="{216BB006-ABC8-41EF-B95B-ECDC923D60DC}"/>
    <cellStyle name="Normal 6 4" xfId="26" xr:uid="{FCB1CE24-6C02-4522-95E7-F7DAF49B31AC}"/>
    <cellStyle name="Normal 6 5" xfId="28" xr:uid="{B35CF579-80D1-4086-8DB3-C54E3C80DD9D}"/>
    <cellStyle name="Pourcentage" xfId="14" builtinId="5"/>
    <cellStyle name="Pourcentage 2" xfId="22" xr:uid="{07E01822-0ED4-4958-A7EC-072138410BF0}"/>
  </cellStyles>
  <dxfs count="377"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/>
        <condense val="0"/>
        <extend val="0"/>
        <color indexed="20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0"/>
        <color indexed="8"/>
      </font>
      <fill>
        <patternFill patternType="solid">
          <fgColor indexed="47"/>
          <bgColor indexed="51"/>
        </patternFill>
      </fill>
    </dxf>
    <dxf>
      <font>
        <b val="0"/>
        <condense val="0"/>
        <extend val="0"/>
        <sz val="10"/>
        <color indexed="8"/>
      </font>
      <fill>
        <patternFill patternType="solid">
          <fgColor indexed="50"/>
          <bgColor indexed="2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51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7"/>
          <bgColor indexed="52"/>
        </patternFill>
      </fill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/>
        <condense val="0"/>
        <extend val="0"/>
        <color indexed="20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sz val="10"/>
        <color indexed="55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color indexed="23"/>
      </font>
    </dxf>
    <dxf>
      <font>
        <b val="0"/>
        <i/>
        <condense val="0"/>
        <extend val="0"/>
        <color indexed="20"/>
      </font>
    </dxf>
    <dxf>
      <font>
        <b val="0"/>
        <condense val="0"/>
        <extend val="0"/>
        <sz val="10"/>
        <color indexed="8"/>
      </font>
      <fill>
        <patternFill patternType="solid">
          <fgColor indexed="47"/>
          <bgColor indexed="51"/>
        </patternFill>
      </fill>
    </dxf>
    <dxf>
      <font>
        <b val="0"/>
        <condense val="0"/>
        <extend val="0"/>
        <sz val="10"/>
        <color indexed="8"/>
      </font>
      <fill>
        <patternFill patternType="solid">
          <fgColor indexed="50"/>
          <bgColor indexed="22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66FF"/>
      <color rgb="FFFF00FF"/>
      <color rgb="FFFFCC99"/>
      <color rgb="FF99FF9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16</xdr:col>
      <xdr:colOff>17467</xdr:colOff>
      <xdr:row>51</xdr:row>
      <xdr:rowOff>18190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71F2BB6-1331-14DE-8F3B-638E13E11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85950"/>
          <a:ext cx="12666667" cy="6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2038696</xdr:colOff>
      <xdr:row>38</xdr:row>
      <xdr:rowOff>34636</xdr:rowOff>
    </xdr:from>
    <xdr:to>
      <xdr:col>1</xdr:col>
      <xdr:colOff>6925194</xdr:colOff>
      <xdr:row>59</xdr:row>
      <xdr:rowOff>696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AB0B5A-77A2-4441-A551-7DCD70F57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3536" y="7016461"/>
          <a:ext cx="4878878" cy="36712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temp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sandrine.vanelmbt/Desktop/Sandrine/2024%20Huppaye/Nouveau%20dossier/AV%204%205.xlsx" TargetMode="External"/><Relationship Id="rId1" Type="http://schemas.openxmlformats.org/officeDocument/2006/relationships/externalLinkPath" Target="file:///C:/Users/sandrine.vanelmbt/Desktop/Sandrine/2024%20Huppaye/Nouveau%20dossier/AV%204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métré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- état 30 - Février  06  "/>
      <sheetName val="SvE"/>
      <sheetName val="Stab"/>
      <sheetName val="Toit grange"/>
      <sheetName val="Frankie"/>
      <sheetName val="Avenant 1"/>
      <sheetName val="Avenant 2"/>
      <sheetName val="Avenant 3"/>
      <sheetName val="Avenant 4"/>
      <sheetName val="Avenant 5"/>
    </sheetNames>
    <sheetDataSet>
      <sheetData sheetId="0">
        <row r="163">
          <cell r="A163" t="str">
            <v>1.23.1</v>
          </cell>
          <cell r="B163" t="str">
            <v>Maçonnerie portante et non portante bloc béton 14 cm</v>
          </cell>
          <cell r="K163">
            <v>545</v>
          </cell>
        </row>
      </sheetData>
      <sheetData sheetId="1" refreshError="1"/>
      <sheetData sheetId="2">
        <row r="95">
          <cell r="K95">
            <v>75</v>
          </cell>
        </row>
        <row r="175">
          <cell r="K175">
            <v>695</v>
          </cell>
        </row>
        <row r="179">
          <cell r="K179">
            <v>115.17</v>
          </cell>
        </row>
        <row r="183">
          <cell r="K183">
            <v>4.8499999999999996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4"/>
  <sheetViews>
    <sheetView tabSelected="1" topLeftCell="A269" zoomScale="120" zoomScaleNormal="120" workbookViewId="0">
      <selection activeCell="A246" sqref="A246:XFD246"/>
    </sheetView>
  </sheetViews>
  <sheetFormatPr baseColWidth="10" defaultColWidth="9.1640625" defaultRowHeight="14" customHeight="1" x14ac:dyDescent="0.15"/>
  <cols>
    <col min="1" max="1" width="7.5" style="11" customWidth="1"/>
    <col min="2" max="2" width="66" style="11" customWidth="1"/>
    <col min="3" max="3" width="5.5" style="13" bestFit="1" customWidth="1"/>
    <col min="4" max="4" width="10.1640625" style="14" customWidth="1"/>
    <col min="5" max="5" width="6.83203125" style="15" customWidth="1"/>
    <col min="6" max="6" width="7.83203125" style="14" customWidth="1"/>
    <col min="7" max="7" width="6.83203125" style="14" customWidth="1"/>
    <col min="8" max="8" width="9.5" style="14" customWidth="1"/>
    <col min="9" max="9" width="8.83203125" style="16" customWidth="1"/>
    <col min="10" max="10" width="13.83203125" style="16" bestFit="1" customWidth="1"/>
    <col min="11" max="11" width="10.83203125" style="17" customWidth="1"/>
    <col min="12" max="12" width="12.83203125" style="32" bestFit="1" customWidth="1"/>
    <col min="13" max="13" width="3" style="11" customWidth="1"/>
    <col min="14" max="14" width="13.5" style="11" customWidth="1"/>
    <col min="15" max="15" width="23.1640625" style="107" customWidth="1"/>
    <col min="16" max="16" width="7.5" style="203" customWidth="1"/>
    <col min="17" max="17" width="7.6640625" style="213" customWidth="1"/>
    <col min="18" max="19" width="7.5" style="388" customWidth="1"/>
    <col min="20" max="20" width="6.1640625" style="213" bestFit="1" customWidth="1"/>
    <col min="21" max="21" width="5.6640625" style="203" bestFit="1" customWidth="1"/>
    <col min="22" max="22" width="8.1640625" style="204" bestFit="1" customWidth="1"/>
    <col min="23" max="23" width="13.83203125" style="11" bestFit="1" customWidth="1"/>
    <col min="24" max="24" width="9.1640625" style="30"/>
    <col min="25" max="25" width="11.5" style="11" bestFit="1" customWidth="1"/>
    <col min="26" max="16384" width="9.1640625" style="11"/>
  </cols>
  <sheetData>
    <row r="1" spans="1:20" s="10" customFormat="1" ht="14" customHeight="1" thickBot="1" x14ac:dyDescent="0.2">
      <c r="A1" s="1" t="s">
        <v>39</v>
      </c>
      <c r="B1" s="2" t="s">
        <v>59</v>
      </c>
      <c r="C1" s="3" t="s">
        <v>199</v>
      </c>
      <c r="D1" s="4" t="s">
        <v>46</v>
      </c>
      <c r="E1" s="5" t="s">
        <v>62</v>
      </c>
      <c r="F1" s="4" t="s">
        <v>63</v>
      </c>
      <c r="G1" s="6" t="s">
        <v>64</v>
      </c>
      <c r="H1" s="4" t="s">
        <v>65</v>
      </c>
      <c r="I1" s="7" t="s">
        <v>48</v>
      </c>
      <c r="J1" s="7" t="s">
        <v>47</v>
      </c>
      <c r="K1" s="8" t="s">
        <v>60</v>
      </c>
      <c r="L1" s="31" t="s">
        <v>61</v>
      </c>
      <c r="M1" s="9"/>
      <c r="R1" s="384"/>
      <c r="S1" s="384"/>
      <c r="T1" s="485"/>
    </row>
    <row r="2" spans="1:20" s="9" customFormat="1" ht="13" x14ac:dyDescent="0.15">
      <c r="A2" s="11"/>
      <c r="B2" s="12"/>
      <c r="C2" s="13"/>
      <c r="D2" s="14"/>
      <c r="E2" s="15"/>
      <c r="F2" s="14"/>
      <c r="G2" s="14"/>
      <c r="H2" s="14"/>
      <c r="I2" s="16"/>
      <c r="J2" s="16"/>
      <c r="K2" s="17"/>
      <c r="L2" s="32"/>
      <c r="R2" s="385"/>
      <c r="S2" s="385"/>
      <c r="T2" s="486"/>
    </row>
    <row r="3" spans="1:20" s="30" customFormat="1" ht="13" x14ac:dyDescent="0.15">
      <c r="A3" s="33"/>
      <c r="B3" s="33" t="s">
        <v>266</v>
      </c>
      <c r="C3" s="34"/>
      <c r="D3" s="35"/>
      <c r="E3" s="35"/>
      <c r="F3" s="35"/>
      <c r="G3" s="35"/>
      <c r="H3" s="35"/>
      <c r="I3" s="35"/>
      <c r="J3" s="36"/>
      <c r="K3" s="37"/>
      <c r="L3" s="37"/>
      <c r="M3" s="38"/>
      <c r="R3" s="382"/>
      <c r="S3" s="382"/>
      <c r="T3" s="487"/>
    </row>
    <row r="4" spans="1:20" s="30" customFormat="1" ht="13" x14ac:dyDescent="0.15">
      <c r="A4" s="33"/>
      <c r="B4" s="33" t="s">
        <v>273</v>
      </c>
      <c r="C4" s="34"/>
      <c r="D4" s="35"/>
      <c r="E4" s="35"/>
      <c r="F4" s="35"/>
      <c r="G4" s="35"/>
      <c r="H4" s="35"/>
      <c r="I4" s="35"/>
      <c r="J4" s="36"/>
      <c r="K4" s="37"/>
      <c r="L4" s="37"/>
      <c r="M4" s="38"/>
      <c r="R4" s="382"/>
      <c r="S4" s="382"/>
      <c r="T4" s="487"/>
    </row>
    <row r="5" spans="1:20" s="30" customFormat="1" ht="13" x14ac:dyDescent="0.15">
      <c r="A5" s="33" t="s">
        <v>17</v>
      </c>
      <c r="B5" s="40" t="s">
        <v>168</v>
      </c>
      <c r="C5" s="34"/>
      <c r="D5" s="35"/>
      <c r="E5" s="35"/>
      <c r="F5" s="35"/>
      <c r="G5" s="35"/>
      <c r="H5" s="35"/>
      <c r="I5" s="35"/>
      <c r="J5" s="36"/>
      <c r="K5" s="37"/>
      <c r="L5" s="37"/>
      <c r="M5" s="38"/>
      <c r="R5" s="382"/>
      <c r="S5" s="382"/>
      <c r="T5" s="487"/>
    </row>
    <row r="6" spans="1:20" s="30" customFormat="1" ht="13" x14ac:dyDescent="0.15">
      <c r="A6" s="33" t="s">
        <v>16</v>
      </c>
      <c r="B6" s="33" t="s">
        <v>265</v>
      </c>
      <c r="C6" s="34"/>
      <c r="D6" s="35"/>
      <c r="E6" s="35"/>
      <c r="F6" s="35"/>
      <c r="G6" s="35"/>
      <c r="H6" s="35"/>
      <c r="I6" s="35"/>
      <c r="J6" s="36"/>
      <c r="K6" s="37"/>
      <c r="L6" s="37"/>
      <c r="M6" s="38"/>
      <c r="R6" s="382"/>
      <c r="S6" s="382"/>
      <c r="T6" s="487"/>
    </row>
    <row r="7" spans="1:20" s="30" customFormat="1" ht="13" x14ac:dyDescent="0.15">
      <c r="A7" s="33" t="s">
        <v>143</v>
      </c>
      <c r="B7" s="40" t="s">
        <v>169</v>
      </c>
      <c r="C7" s="34"/>
      <c r="D7" s="35"/>
      <c r="E7" s="35"/>
      <c r="F7" s="35"/>
      <c r="G7" s="35"/>
      <c r="H7" s="35"/>
      <c r="I7" s="35"/>
      <c r="J7" s="36"/>
      <c r="K7" s="37"/>
      <c r="L7" s="37"/>
      <c r="M7" s="38"/>
      <c r="R7" s="382"/>
      <c r="S7" s="382"/>
      <c r="T7" s="487"/>
    </row>
    <row r="8" spans="1:20" s="30" customFormat="1" ht="13" x14ac:dyDescent="0.15">
      <c r="A8" s="33" t="s">
        <v>51</v>
      </c>
      <c r="B8" s="40" t="s">
        <v>152</v>
      </c>
      <c r="C8" s="34"/>
      <c r="D8" s="35"/>
      <c r="E8" s="35"/>
      <c r="F8" s="35"/>
      <c r="G8" s="35"/>
      <c r="H8" s="35"/>
      <c r="I8" s="35"/>
      <c r="J8" s="36"/>
      <c r="K8" s="37"/>
      <c r="L8" s="37"/>
      <c r="M8" s="38"/>
      <c r="R8" s="382"/>
      <c r="S8" s="382"/>
      <c r="T8" s="487"/>
    </row>
    <row r="9" spans="1:20" s="30" customFormat="1" ht="13" x14ac:dyDescent="0.15">
      <c r="A9" s="33" t="s">
        <v>20</v>
      </c>
      <c r="B9" s="33" t="s">
        <v>144</v>
      </c>
      <c r="C9" s="34"/>
      <c r="D9" s="35"/>
      <c r="E9" s="35"/>
      <c r="F9" s="35"/>
      <c r="G9" s="35"/>
      <c r="H9" s="35"/>
      <c r="I9" s="35"/>
      <c r="J9" s="36"/>
      <c r="K9" s="37"/>
      <c r="L9" s="37"/>
      <c r="M9" s="38"/>
      <c r="R9" s="382"/>
      <c r="S9" s="382"/>
      <c r="T9" s="487"/>
    </row>
    <row r="10" spans="1:20" s="30" customFormat="1" ht="13" x14ac:dyDescent="0.15">
      <c r="A10" s="33" t="s">
        <v>9</v>
      </c>
      <c r="B10" s="33" t="s">
        <v>145</v>
      </c>
      <c r="C10" s="41"/>
      <c r="D10" s="35"/>
      <c r="E10" s="35"/>
      <c r="F10" s="35"/>
      <c r="G10" s="35"/>
      <c r="H10" s="35"/>
      <c r="I10" s="35"/>
      <c r="J10" s="36"/>
      <c r="K10" s="37"/>
      <c r="L10" s="37"/>
      <c r="M10" s="38"/>
      <c r="R10" s="382"/>
      <c r="S10" s="382"/>
      <c r="T10" s="487"/>
    </row>
    <row r="11" spans="1:20" s="30" customFormat="1" ht="13" x14ac:dyDescent="0.15">
      <c r="A11" s="33" t="s">
        <v>19</v>
      </c>
      <c r="B11" s="33" t="s">
        <v>146</v>
      </c>
      <c r="C11" s="34"/>
      <c r="D11" s="35"/>
      <c r="E11" s="35"/>
      <c r="F11" s="35"/>
      <c r="G11" s="35"/>
      <c r="H11" s="35"/>
      <c r="I11" s="35"/>
      <c r="J11" s="36"/>
      <c r="K11" s="37"/>
      <c r="L11" s="37"/>
      <c r="M11" s="38"/>
      <c r="R11" s="382"/>
      <c r="S11" s="382"/>
      <c r="T11" s="487"/>
    </row>
    <row r="12" spans="1:20" s="30" customFormat="1" ht="13" x14ac:dyDescent="0.15">
      <c r="A12" s="33" t="s">
        <v>18</v>
      </c>
      <c r="B12" s="33" t="s">
        <v>147</v>
      </c>
      <c r="C12" s="34"/>
      <c r="D12" s="35"/>
      <c r="E12" s="35"/>
      <c r="F12" s="35"/>
      <c r="G12" s="35"/>
      <c r="H12" s="35"/>
      <c r="I12" s="35"/>
      <c r="J12" s="36"/>
      <c r="K12" s="37"/>
      <c r="L12" s="37"/>
      <c r="M12" s="38"/>
      <c r="R12" s="382"/>
      <c r="S12" s="382"/>
      <c r="T12" s="487"/>
    </row>
    <row r="13" spans="1:20" s="30" customFormat="1" ht="13" x14ac:dyDescent="0.15">
      <c r="A13" s="33"/>
      <c r="B13" s="33"/>
      <c r="C13" s="34"/>
      <c r="D13" s="35"/>
      <c r="E13" s="35"/>
      <c r="F13" s="35"/>
      <c r="G13" s="35"/>
      <c r="H13" s="35"/>
      <c r="I13" s="35"/>
      <c r="J13" s="36"/>
      <c r="K13" s="37"/>
      <c r="L13" s="37"/>
      <c r="M13" s="38"/>
      <c r="R13" s="382"/>
      <c r="S13" s="382"/>
      <c r="T13" s="487"/>
    </row>
    <row r="14" spans="1:20" s="30" customFormat="1" ht="13" x14ac:dyDescent="0.15">
      <c r="A14" s="42">
        <v>0</v>
      </c>
      <c r="B14" s="33" t="s">
        <v>205</v>
      </c>
      <c r="C14" s="43"/>
      <c r="D14" s="35"/>
      <c r="E14" s="35"/>
      <c r="F14" s="35"/>
      <c r="G14" s="35"/>
      <c r="H14" s="35"/>
      <c r="I14" s="35"/>
      <c r="J14" s="36"/>
      <c r="K14" s="37"/>
      <c r="L14" s="37"/>
      <c r="M14" s="38"/>
      <c r="R14" s="382"/>
      <c r="S14" s="382"/>
      <c r="T14" s="487"/>
    </row>
    <row r="15" spans="1:20" s="30" customFormat="1" ht="13" x14ac:dyDescent="0.15">
      <c r="A15" s="39">
        <v>1</v>
      </c>
      <c r="B15" s="33" t="s">
        <v>204</v>
      </c>
      <c r="C15" s="43"/>
      <c r="D15" s="35"/>
      <c r="E15" s="35"/>
      <c r="F15" s="35"/>
      <c r="G15" s="35"/>
      <c r="H15" s="35"/>
      <c r="I15" s="35"/>
      <c r="J15" s="36"/>
      <c r="K15" s="37"/>
      <c r="L15" s="37"/>
      <c r="M15" s="38"/>
      <c r="R15" s="382"/>
      <c r="S15" s="382"/>
      <c r="T15" s="487"/>
    </row>
    <row r="16" spans="1:20" s="30" customFormat="1" ht="13" x14ac:dyDescent="0.15">
      <c r="A16" s="39">
        <v>2</v>
      </c>
      <c r="B16" s="33" t="s">
        <v>203</v>
      </c>
      <c r="C16" s="43"/>
      <c r="D16" s="35"/>
      <c r="E16" s="35"/>
      <c r="F16" s="35"/>
      <c r="G16" s="35"/>
      <c r="H16" s="35"/>
      <c r="I16" s="35"/>
      <c r="J16" s="36"/>
      <c r="K16" s="37"/>
      <c r="L16" s="37"/>
      <c r="M16" s="38"/>
      <c r="R16" s="382"/>
      <c r="S16" s="382"/>
      <c r="T16" s="487"/>
    </row>
    <row r="17" spans="1:23" s="30" customFormat="1" ht="13" x14ac:dyDescent="0.15">
      <c r="A17" s="44">
        <v>3</v>
      </c>
      <c r="B17" s="33" t="s">
        <v>202</v>
      </c>
      <c r="C17" s="43"/>
      <c r="D17" s="35"/>
      <c r="E17" s="35"/>
      <c r="F17" s="35"/>
      <c r="G17" s="35"/>
      <c r="H17" s="35"/>
      <c r="I17" s="35"/>
      <c r="J17" s="36"/>
      <c r="K17" s="37"/>
      <c r="L17" s="37"/>
      <c r="M17" s="38"/>
      <c r="N17" s="39"/>
      <c r="O17" s="108"/>
      <c r="P17" s="198"/>
      <c r="Q17" s="214"/>
      <c r="R17" s="386"/>
      <c r="S17" s="386"/>
      <c r="T17" s="214"/>
      <c r="U17" s="198"/>
      <c r="V17" s="205"/>
      <c r="W17" s="38"/>
    </row>
    <row r="18" spans="1:23" s="30" customFormat="1" thickBot="1" x14ac:dyDescent="0.2">
      <c r="A18" s="45"/>
      <c r="B18" s="33"/>
      <c r="C18" s="43"/>
      <c r="D18" s="35"/>
      <c r="E18" s="35"/>
      <c r="F18" s="35"/>
      <c r="G18" s="35"/>
      <c r="H18" s="35"/>
      <c r="I18" s="35"/>
      <c r="J18" s="36"/>
      <c r="K18" s="37"/>
      <c r="L18" s="37"/>
      <c r="M18" s="38"/>
      <c r="N18" s="39"/>
      <c r="O18" s="108"/>
      <c r="P18" s="198"/>
      <c r="Q18" s="214"/>
      <c r="R18" s="386"/>
      <c r="S18" s="386"/>
      <c r="T18" s="214"/>
      <c r="U18" s="198"/>
      <c r="V18" s="205"/>
      <c r="W18" s="38"/>
    </row>
    <row r="19" spans="1:23" s="19" customFormat="1" ht="12.75" customHeight="1" thickBot="1" x14ac:dyDescent="0.2">
      <c r="A19" s="46" t="s">
        <v>40</v>
      </c>
      <c r="B19" s="47" t="s">
        <v>52</v>
      </c>
      <c r="C19" s="48"/>
      <c r="D19" s="49"/>
      <c r="E19" s="50"/>
      <c r="F19" s="50"/>
      <c r="G19" s="50"/>
      <c r="H19" s="50"/>
      <c r="I19" s="51"/>
      <c r="J19" s="51"/>
      <c r="K19" s="8"/>
      <c r="L19" s="52"/>
      <c r="M19" s="11"/>
      <c r="N19" s="11"/>
      <c r="O19" s="107"/>
      <c r="P19" s="195" t="s">
        <v>511</v>
      </c>
      <c r="Q19" s="457" t="s">
        <v>512</v>
      </c>
      <c r="R19" s="383" t="s">
        <v>513</v>
      </c>
      <c r="S19" s="492" t="s">
        <v>514</v>
      </c>
      <c r="T19" s="504" t="s">
        <v>515</v>
      </c>
      <c r="U19" s="195" t="s">
        <v>516</v>
      </c>
      <c r="V19" s="195" t="s">
        <v>509</v>
      </c>
      <c r="W19" s="187" t="s">
        <v>510</v>
      </c>
    </row>
    <row r="20" spans="1:23" ht="13" x14ac:dyDescent="0.15">
      <c r="A20" s="53"/>
      <c r="B20" s="30"/>
      <c r="C20" s="54"/>
      <c r="D20" s="55"/>
      <c r="E20" s="55"/>
      <c r="F20" s="55"/>
      <c r="G20" s="55"/>
      <c r="H20" s="55"/>
      <c r="I20" s="56"/>
      <c r="J20" s="56"/>
      <c r="P20" s="199"/>
      <c r="Q20" s="433"/>
      <c r="R20" s="434"/>
      <c r="S20" s="434"/>
      <c r="T20" s="488"/>
      <c r="U20" s="199"/>
      <c r="V20" s="206"/>
      <c r="W20" s="188"/>
    </row>
    <row r="21" spans="1:23" s="21" customFormat="1" x14ac:dyDescent="0.15">
      <c r="A21" s="57" t="s">
        <v>41</v>
      </c>
      <c r="B21" s="58" t="s">
        <v>53</v>
      </c>
      <c r="C21" s="59"/>
      <c r="D21" s="60"/>
      <c r="E21" s="60"/>
      <c r="F21" s="60"/>
      <c r="G21" s="60"/>
      <c r="H21" s="60"/>
      <c r="I21" s="61"/>
      <c r="J21" s="61"/>
      <c r="K21" s="20"/>
      <c r="L21" s="62"/>
      <c r="M21" s="11"/>
      <c r="N21" s="14" t="s">
        <v>206</v>
      </c>
      <c r="O21" s="107"/>
      <c r="P21" s="197"/>
      <c r="Q21" s="435"/>
      <c r="R21" s="436"/>
      <c r="S21" s="436"/>
      <c r="T21" s="215"/>
      <c r="U21" s="197"/>
      <c r="V21" s="207"/>
      <c r="W21" s="189"/>
    </row>
    <row r="22" spans="1:23" ht="5" customHeight="1" x14ac:dyDescent="0.15">
      <c r="A22" s="63"/>
      <c r="B22" s="63"/>
      <c r="C22" s="54"/>
      <c r="D22" s="56"/>
      <c r="E22" s="64"/>
      <c r="F22" s="56"/>
      <c r="G22" s="56"/>
      <c r="H22" s="56"/>
      <c r="I22" s="56"/>
      <c r="J22" s="56"/>
      <c r="P22" s="197"/>
      <c r="Q22" s="435"/>
      <c r="R22" s="436"/>
      <c r="S22" s="436"/>
      <c r="T22" s="215"/>
      <c r="U22" s="197"/>
      <c r="V22" s="207"/>
      <c r="W22" s="189"/>
    </row>
    <row r="23" spans="1:23" s="23" customFormat="1" ht="13" x14ac:dyDescent="0.15">
      <c r="A23" s="65" t="s">
        <v>42</v>
      </c>
      <c r="B23" s="65" t="s">
        <v>29</v>
      </c>
      <c r="C23" s="66"/>
      <c r="D23" s="67" t="s">
        <v>16</v>
      </c>
      <c r="E23" s="68"/>
      <c r="F23" s="67"/>
      <c r="G23" s="67"/>
      <c r="H23" s="67"/>
      <c r="I23" s="67"/>
      <c r="J23" s="75">
        <v>1</v>
      </c>
      <c r="K23" s="28">
        <f>27418.59-1.18*1610</f>
        <v>25518.79</v>
      </c>
      <c r="L23" s="73"/>
      <c r="M23" s="11"/>
      <c r="N23" s="11"/>
      <c r="O23" s="107"/>
      <c r="P23" s="197"/>
      <c r="Q23" s="435"/>
      <c r="R23" s="436"/>
      <c r="S23" s="436"/>
      <c r="T23" s="215"/>
      <c r="U23" s="197"/>
      <c r="V23" s="207"/>
      <c r="W23" s="189"/>
    </row>
    <row r="24" spans="1:23" s="23" customFormat="1" ht="13" x14ac:dyDescent="0.15">
      <c r="A24" s="65"/>
      <c r="B24" s="111" t="s">
        <v>453</v>
      </c>
      <c r="C24" s="112"/>
      <c r="D24" s="75"/>
      <c r="E24" s="112"/>
      <c r="F24" s="75"/>
      <c r="G24" s="75"/>
      <c r="H24" s="75"/>
      <c r="I24" s="75"/>
      <c r="J24" s="75">
        <v>1</v>
      </c>
      <c r="K24" s="28">
        <v>9113.85</v>
      </c>
      <c r="L24" s="73">
        <f t="shared" ref="L24" si="0">SUM(J24*K24)</f>
        <v>9113.85</v>
      </c>
      <c r="M24" s="11"/>
      <c r="N24" s="11"/>
      <c r="O24" s="107"/>
      <c r="P24" s="197">
        <v>0.05</v>
      </c>
      <c r="Q24" s="238">
        <v>0.2</v>
      </c>
      <c r="R24" s="436">
        <v>0.2</v>
      </c>
      <c r="S24" s="436">
        <v>0.2</v>
      </c>
      <c r="T24" s="215">
        <v>0.25</v>
      </c>
      <c r="U24" s="197">
        <v>0</v>
      </c>
      <c r="V24" s="207">
        <f>SUM(P24:U24)</f>
        <v>0.9</v>
      </c>
      <c r="W24" s="212">
        <f>V24*L24</f>
        <v>8202.4699999999993</v>
      </c>
    </row>
    <row r="25" spans="1:23" s="23" customFormat="1" ht="56" x14ac:dyDescent="0.15">
      <c r="A25" s="65"/>
      <c r="B25" s="254" t="s">
        <v>381</v>
      </c>
      <c r="C25" s="66"/>
      <c r="D25" s="67"/>
      <c r="E25" s="68"/>
      <c r="F25" s="67"/>
      <c r="G25" s="67"/>
      <c r="H25" s="67"/>
      <c r="I25" s="67"/>
      <c r="J25" s="75"/>
      <c r="K25" s="28"/>
      <c r="L25" s="73"/>
      <c r="M25" s="11"/>
      <c r="N25" s="11"/>
      <c r="O25" s="107"/>
      <c r="P25" s="197"/>
      <c r="Q25" s="238"/>
      <c r="R25" s="436"/>
      <c r="S25" s="436"/>
      <c r="T25" s="215"/>
      <c r="U25" s="197"/>
      <c r="V25" s="207"/>
      <c r="W25" s="189"/>
    </row>
    <row r="26" spans="1:23" s="23" customFormat="1" ht="13" x14ac:dyDescent="0.15">
      <c r="A26" s="65"/>
      <c r="B26" s="111" t="s">
        <v>29</v>
      </c>
      <c r="C26" s="112"/>
      <c r="D26" s="75" t="s">
        <v>385</v>
      </c>
      <c r="E26" s="112"/>
      <c r="F26" s="75"/>
      <c r="G26" s="75"/>
      <c r="H26" s="75"/>
      <c r="I26" s="75"/>
      <c r="J26" s="75">
        <v>1</v>
      </c>
      <c r="K26" s="28">
        <v>1899.8</v>
      </c>
      <c r="L26" s="73">
        <f>K26</f>
        <v>1899.8</v>
      </c>
      <c r="M26" s="11"/>
      <c r="N26" s="11"/>
      <c r="O26" s="107"/>
      <c r="P26" s="197"/>
      <c r="Q26" s="238">
        <v>0.1</v>
      </c>
      <c r="R26" s="436">
        <v>0.2</v>
      </c>
      <c r="S26" s="436">
        <v>0.2</v>
      </c>
      <c r="T26" s="435">
        <v>0.4</v>
      </c>
      <c r="U26" s="197">
        <v>0</v>
      </c>
      <c r="V26" s="207">
        <f>SUM(P26:U26)</f>
        <v>0.9</v>
      </c>
      <c r="W26" s="212">
        <f>V26*L26</f>
        <v>1709.82</v>
      </c>
    </row>
    <row r="27" spans="1:23" s="23" customFormat="1" ht="87.5" customHeight="1" x14ac:dyDescent="0.15">
      <c r="A27" s="65"/>
      <c r="B27" s="255" t="s">
        <v>372</v>
      </c>
      <c r="C27" s="66"/>
      <c r="D27" s="67"/>
      <c r="E27" s="68"/>
      <c r="F27" s="67"/>
      <c r="G27" s="67"/>
      <c r="H27" s="67"/>
      <c r="I27" s="67"/>
      <c r="J27" s="75"/>
      <c r="K27" s="28"/>
      <c r="L27" s="73"/>
      <c r="M27" s="11"/>
      <c r="N27" s="11"/>
      <c r="O27" s="107"/>
      <c r="P27" s="197"/>
      <c r="Q27" s="238"/>
      <c r="R27" s="436"/>
      <c r="S27" s="436"/>
      <c r="T27" s="215"/>
      <c r="U27" s="197"/>
      <c r="V27" s="207"/>
      <c r="W27" s="189"/>
    </row>
    <row r="28" spans="1:23" ht="14" customHeight="1" x14ac:dyDescent="0.15">
      <c r="B28" s="255" t="s">
        <v>501</v>
      </c>
      <c r="P28" s="197"/>
      <c r="Q28" s="238"/>
      <c r="R28" s="436"/>
      <c r="S28" s="436"/>
      <c r="T28" s="215"/>
      <c r="U28" s="197"/>
      <c r="V28" s="207"/>
      <c r="W28" s="189"/>
    </row>
    <row r="29" spans="1:23" s="23" customFormat="1" x14ac:dyDescent="0.15">
      <c r="A29" s="65"/>
      <c r="B29" s="255" t="s">
        <v>502</v>
      </c>
      <c r="C29" s="66"/>
      <c r="D29" s="67"/>
      <c r="E29" s="68"/>
      <c r="F29" s="67"/>
      <c r="G29" s="67"/>
      <c r="H29" s="67"/>
      <c r="I29" s="67"/>
      <c r="J29" s="75"/>
      <c r="K29" s="28"/>
      <c r="L29" s="73"/>
      <c r="M29" s="11"/>
      <c r="N29" s="11"/>
      <c r="O29" s="107"/>
      <c r="P29" s="197"/>
      <c r="Q29" s="238"/>
      <c r="R29" s="436"/>
      <c r="S29" s="436"/>
      <c r="T29" s="215"/>
      <c r="U29" s="197"/>
      <c r="V29" s="207"/>
      <c r="W29" s="189"/>
    </row>
    <row r="30" spans="1:23" s="23" customFormat="1" ht="13" x14ac:dyDescent="0.15">
      <c r="A30" s="65" t="s">
        <v>43</v>
      </c>
      <c r="B30" s="65" t="s">
        <v>30</v>
      </c>
      <c r="C30" s="66"/>
      <c r="D30" s="67" t="s">
        <v>17</v>
      </c>
      <c r="E30" s="68"/>
      <c r="F30" s="67"/>
      <c r="G30" s="67"/>
      <c r="H30" s="67"/>
      <c r="I30" s="67"/>
      <c r="J30" s="75"/>
      <c r="K30" s="22"/>
      <c r="L30" s="69"/>
      <c r="M30" s="11"/>
      <c r="N30" s="11"/>
      <c r="O30" s="107"/>
      <c r="P30" s="197"/>
      <c r="Q30" s="238"/>
      <c r="R30" s="436"/>
      <c r="S30" s="436"/>
      <c r="T30" s="215"/>
      <c r="U30" s="197"/>
      <c r="V30" s="207"/>
      <c r="W30" s="189"/>
    </row>
    <row r="31" spans="1:23" s="23" customFormat="1" ht="13" x14ac:dyDescent="0.15">
      <c r="A31" s="65" t="s">
        <v>44</v>
      </c>
      <c r="B31" s="65" t="s">
        <v>31</v>
      </c>
      <c r="C31" s="66"/>
      <c r="D31" s="67" t="s">
        <v>16</v>
      </c>
      <c r="E31" s="68"/>
      <c r="F31" s="67"/>
      <c r="G31" s="67"/>
      <c r="H31" s="67"/>
      <c r="I31" s="67"/>
      <c r="J31" s="75"/>
      <c r="K31" s="22"/>
      <c r="L31" s="69"/>
      <c r="M31" s="11"/>
      <c r="N31" s="11"/>
      <c r="O31" s="107"/>
      <c r="P31" s="197"/>
      <c r="Q31" s="238"/>
      <c r="R31" s="436"/>
      <c r="S31" s="436"/>
      <c r="T31" s="215"/>
      <c r="U31" s="197"/>
      <c r="V31" s="207"/>
      <c r="W31" s="189"/>
    </row>
    <row r="32" spans="1:23" s="23" customFormat="1" ht="13" x14ac:dyDescent="0.15">
      <c r="A32" s="65" t="s">
        <v>45</v>
      </c>
      <c r="B32" s="65" t="s">
        <v>32</v>
      </c>
      <c r="C32" s="66"/>
      <c r="D32" s="67" t="s">
        <v>17</v>
      </c>
      <c r="E32" s="68"/>
      <c r="F32" s="67"/>
      <c r="G32" s="67"/>
      <c r="H32" s="67"/>
      <c r="I32" s="67"/>
      <c r="J32" s="75"/>
      <c r="K32" s="22"/>
      <c r="L32" s="69"/>
      <c r="M32" s="11"/>
      <c r="N32" s="11"/>
      <c r="O32" s="107"/>
      <c r="P32" s="197"/>
      <c r="Q32" s="238"/>
      <c r="R32" s="436"/>
      <c r="S32" s="436"/>
      <c r="T32" s="215"/>
      <c r="U32" s="197"/>
      <c r="V32" s="207"/>
      <c r="W32" s="189"/>
    </row>
    <row r="33" spans="1:23" s="23" customFormat="1" ht="13" x14ac:dyDescent="0.15">
      <c r="A33" s="65" t="s">
        <v>0</v>
      </c>
      <c r="B33" s="65" t="s">
        <v>33</v>
      </c>
      <c r="C33" s="66"/>
      <c r="D33" s="67" t="s">
        <v>16</v>
      </c>
      <c r="E33" s="68"/>
      <c r="F33" s="67"/>
      <c r="G33" s="67"/>
      <c r="H33" s="67"/>
      <c r="I33" s="67"/>
      <c r="J33" s="75"/>
      <c r="K33" s="22"/>
      <c r="L33" s="69"/>
      <c r="M33" s="11"/>
      <c r="N33" s="11"/>
      <c r="O33" s="107"/>
      <c r="P33" s="197"/>
      <c r="Q33" s="238"/>
      <c r="R33" s="436"/>
      <c r="S33" s="436"/>
      <c r="T33" s="215"/>
      <c r="U33" s="197"/>
      <c r="V33" s="207"/>
      <c r="W33" s="189"/>
    </row>
    <row r="34" spans="1:23" s="23" customFormat="1" ht="13" x14ac:dyDescent="0.15">
      <c r="A34" s="65" t="s">
        <v>1</v>
      </c>
      <c r="B34" s="65" t="s">
        <v>267</v>
      </c>
      <c r="C34" s="66"/>
      <c r="D34" s="67" t="s">
        <v>17</v>
      </c>
      <c r="E34" s="68"/>
      <c r="F34" s="67"/>
      <c r="G34" s="67"/>
      <c r="H34" s="67"/>
      <c r="I34" s="67"/>
      <c r="J34" s="75"/>
      <c r="K34" s="22"/>
      <c r="L34" s="69"/>
      <c r="M34" s="11"/>
      <c r="N34" s="11"/>
      <c r="O34" s="107"/>
      <c r="P34" s="197"/>
      <c r="Q34" s="238"/>
      <c r="R34" s="436"/>
      <c r="S34" s="436"/>
      <c r="T34" s="215"/>
      <c r="U34" s="197"/>
      <c r="V34" s="207"/>
      <c r="W34" s="189"/>
    </row>
    <row r="35" spans="1:23" s="23" customFormat="1" ht="13" x14ac:dyDescent="0.15">
      <c r="A35" s="65" t="s">
        <v>2</v>
      </c>
      <c r="B35" s="65" t="s">
        <v>34</v>
      </c>
      <c r="C35" s="66"/>
      <c r="D35" s="67" t="s">
        <v>16</v>
      </c>
      <c r="E35" s="68"/>
      <c r="F35" s="67"/>
      <c r="G35" s="67"/>
      <c r="H35" s="67"/>
      <c r="I35" s="67"/>
      <c r="J35" s="75"/>
      <c r="K35" s="22"/>
      <c r="L35" s="69"/>
      <c r="M35" s="11"/>
      <c r="N35" s="11"/>
      <c r="O35" s="107"/>
      <c r="P35" s="197"/>
      <c r="Q35" s="238"/>
      <c r="R35" s="436"/>
      <c r="S35" s="436"/>
      <c r="T35" s="215"/>
      <c r="U35" s="197"/>
      <c r="V35" s="207"/>
      <c r="W35" s="189"/>
    </row>
    <row r="36" spans="1:23" s="23" customFormat="1" ht="13" x14ac:dyDescent="0.15">
      <c r="A36" s="65" t="s">
        <v>3</v>
      </c>
      <c r="B36" s="65" t="s">
        <v>35</v>
      </c>
      <c r="C36" s="66"/>
      <c r="D36" s="67" t="s">
        <v>16</v>
      </c>
      <c r="E36" s="68"/>
      <c r="F36" s="67"/>
      <c r="G36" s="67"/>
      <c r="H36" s="67"/>
      <c r="I36" s="67"/>
      <c r="J36" s="75"/>
      <c r="K36" s="22"/>
      <c r="L36" s="69"/>
      <c r="M36" s="11"/>
      <c r="N36" s="11"/>
      <c r="O36" s="107"/>
      <c r="P36" s="197"/>
      <c r="Q36" s="238"/>
      <c r="R36" s="436"/>
      <c r="S36" s="436"/>
      <c r="T36" s="215"/>
      <c r="U36" s="197"/>
      <c r="V36" s="207"/>
      <c r="W36" s="189"/>
    </row>
    <row r="37" spans="1:23" s="23" customFormat="1" ht="13" x14ac:dyDescent="0.15">
      <c r="A37" s="65"/>
      <c r="B37" s="111" t="s">
        <v>376</v>
      </c>
      <c r="C37" s="112"/>
      <c r="D37" s="75" t="s">
        <v>496</v>
      </c>
      <c r="E37" s="68"/>
      <c r="F37" s="67"/>
      <c r="G37" s="67"/>
      <c r="H37" s="67"/>
      <c r="I37" s="67"/>
      <c r="J37" s="75">
        <v>8</v>
      </c>
      <c r="K37" s="28">
        <v>740</v>
      </c>
      <c r="L37" s="73"/>
      <c r="M37" s="11"/>
      <c r="N37" s="11"/>
      <c r="O37" s="107"/>
      <c r="P37" s="197"/>
      <c r="Q37" s="238"/>
      <c r="R37" s="436"/>
      <c r="S37" s="436"/>
      <c r="T37" s="215"/>
      <c r="U37" s="197"/>
      <c r="V37" s="207"/>
      <c r="W37" s="189"/>
    </row>
    <row r="38" spans="1:23" s="23" customFormat="1" ht="13" x14ac:dyDescent="0.15">
      <c r="A38" s="65"/>
      <c r="B38" s="111" t="s">
        <v>454</v>
      </c>
      <c r="C38" s="112"/>
      <c r="D38" s="75" t="s">
        <v>492</v>
      </c>
      <c r="E38" s="68"/>
      <c r="F38" s="67"/>
      <c r="G38" s="67"/>
      <c r="H38" s="67"/>
      <c r="I38" s="67"/>
      <c r="J38" s="75">
        <v>4</v>
      </c>
      <c r="K38" s="28">
        <v>740</v>
      </c>
      <c r="L38" s="73">
        <f t="shared" ref="L38" si="1">SUM(J38*K38)</f>
        <v>2960</v>
      </c>
      <c r="M38" s="11"/>
      <c r="N38" s="11"/>
      <c r="O38" s="107"/>
      <c r="P38" s="197">
        <v>0.05</v>
      </c>
      <c r="Q38" s="238">
        <v>0.1</v>
      </c>
      <c r="R38" s="436">
        <v>0.2</v>
      </c>
      <c r="S38" s="436">
        <v>0.2</v>
      </c>
      <c r="T38" s="215">
        <v>0.45</v>
      </c>
      <c r="U38" s="197"/>
      <c r="V38" s="207">
        <f>SUM(P38:U38)</f>
        <v>1</v>
      </c>
      <c r="W38" s="212">
        <f>V38*L38</f>
        <v>2960</v>
      </c>
    </row>
    <row r="39" spans="1:23" s="23" customFormat="1" ht="13" x14ac:dyDescent="0.15">
      <c r="A39" s="65" t="s">
        <v>4</v>
      </c>
      <c r="B39" s="65" t="s">
        <v>36</v>
      </c>
      <c r="C39" s="66"/>
      <c r="D39" s="67" t="s">
        <v>16</v>
      </c>
      <c r="E39" s="68"/>
      <c r="F39" s="67"/>
      <c r="G39" s="67"/>
      <c r="H39" s="67"/>
      <c r="I39" s="67"/>
      <c r="J39" s="75"/>
      <c r="K39" s="22"/>
      <c r="L39" s="69"/>
      <c r="M39" s="11"/>
      <c r="N39" s="11"/>
      <c r="O39" s="107"/>
      <c r="P39" s="197"/>
      <c r="Q39" s="238"/>
      <c r="R39" s="436"/>
      <c r="S39" s="436"/>
      <c r="T39" s="215"/>
      <c r="U39" s="197"/>
      <c r="V39" s="207"/>
      <c r="W39" s="189"/>
    </row>
    <row r="40" spans="1:23" s="23" customFormat="1" ht="13" x14ac:dyDescent="0.15">
      <c r="A40" s="65"/>
      <c r="B40" s="111" t="s">
        <v>373</v>
      </c>
      <c r="C40" s="112"/>
      <c r="D40" s="75" t="s">
        <v>375</v>
      </c>
      <c r="E40" s="68"/>
      <c r="F40" s="67"/>
      <c r="G40" s="67"/>
      <c r="H40" s="67"/>
      <c r="I40" s="67"/>
      <c r="J40" s="75">
        <v>1</v>
      </c>
      <c r="K40" s="28">
        <v>34548.449999999997</v>
      </c>
      <c r="L40" s="73"/>
      <c r="M40" s="11"/>
      <c r="N40" s="11"/>
      <c r="O40" s="139"/>
      <c r="P40" s="197"/>
      <c r="Q40" s="238"/>
      <c r="R40" s="436"/>
      <c r="S40" s="436"/>
      <c r="T40" s="215"/>
      <c r="U40" s="197"/>
      <c r="V40" s="207"/>
      <c r="W40" s="189"/>
    </row>
    <row r="41" spans="1:23" s="23" customFormat="1" ht="13" x14ac:dyDescent="0.15">
      <c r="A41" s="65"/>
      <c r="B41" s="111" t="s">
        <v>374</v>
      </c>
      <c r="C41" s="112"/>
      <c r="D41" s="75" t="s">
        <v>507</v>
      </c>
      <c r="E41" s="68"/>
      <c r="F41" s="67"/>
      <c r="G41" s="67"/>
      <c r="H41" s="67"/>
      <c r="I41" s="67"/>
      <c r="J41" s="75">
        <v>3</v>
      </c>
      <c r="K41" s="28">
        <v>3397</v>
      </c>
      <c r="L41" s="73"/>
      <c r="M41" s="11"/>
      <c r="N41" s="11"/>
      <c r="O41" s="107"/>
      <c r="P41" s="197"/>
      <c r="Q41" s="238"/>
      <c r="R41" s="436"/>
      <c r="S41" s="436"/>
      <c r="T41" s="215"/>
      <c r="U41" s="197"/>
      <c r="V41" s="207"/>
      <c r="W41" s="189"/>
    </row>
    <row r="42" spans="1:23" s="23" customFormat="1" ht="13" x14ac:dyDescent="0.15">
      <c r="A42" s="65"/>
      <c r="B42" s="111" t="s">
        <v>455</v>
      </c>
      <c r="C42" s="112"/>
      <c r="D42" s="75" t="s">
        <v>375</v>
      </c>
      <c r="E42" s="68"/>
      <c r="F42" s="67"/>
      <c r="G42" s="67"/>
      <c r="H42" s="67"/>
      <c r="I42" s="67"/>
      <c r="J42" s="75">
        <v>1</v>
      </c>
      <c r="K42" s="28">
        <v>4933.5200000000004</v>
      </c>
      <c r="L42" s="73">
        <f t="shared" ref="L42:L43" si="2">SUM(J42*K42)</f>
        <v>4933.5200000000004</v>
      </c>
      <c r="M42" s="11"/>
      <c r="N42" s="11"/>
      <c r="O42" s="107"/>
      <c r="P42" s="197">
        <v>0.05</v>
      </c>
      <c r="Q42" s="238">
        <v>0.45</v>
      </c>
      <c r="R42" s="436">
        <v>0.1</v>
      </c>
      <c r="S42" s="436">
        <v>0.1</v>
      </c>
      <c r="T42" s="215">
        <v>0.3</v>
      </c>
      <c r="U42" s="197"/>
      <c r="V42" s="207">
        <f>SUM(P42:U42)</f>
        <v>1</v>
      </c>
      <c r="W42" s="212">
        <f t="shared" ref="W42:W43" si="3">V42*L42</f>
        <v>4933.5200000000004</v>
      </c>
    </row>
    <row r="43" spans="1:23" s="23" customFormat="1" ht="13" x14ac:dyDescent="0.15">
      <c r="A43" s="65"/>
      <c r="B43" s="111" t="s">
        <v>456</v>
      </c>
      <c r="C43" s="112"/>
      <c r="D43" s="75" t="s">
        <v>508</v>
      </c>
      <c r="E43" s="68"/>
      <c r="F43" s="67"/>
      <c r="G43" s="67"/>
      <c r="H43" s="67"/>
      <c r="I43" s="67"/>
      <c r="J43" s="75">
        <v>1</v>
      </c>
      <c r="K43" s="28">
        <v>1233.3800000000001</v>
      </c>
      <c r="L43" s="73">
        <f t="shared" si="2"/>
        <v>1233.3800000000001</v>
      </c>
      <c r="M43" s="11"/>
      <c r="N43" s="11"/>
      <c r="O43" s="107"/>
      <c r="P43" s="197">
        <v>0.05</v>
      </c>
      <c r="Q43" s="238"/>
      <c r="R43" s="436"/>
      <c r="S43" s="436"/>
      <c r="T43" s="435">
        <v>0.95</v>
      </c>
      <c r="U43" s="197"/>
      <c r="V43" s="207">
        <f t="shared" ref="V43" si="4">SUM(P43:U43)</f>
        <v>1</v>
      </c>
      <c r="W43" s="212">
        <f t="shared" si="3"/>
        <v>1233.3800000000001</v>
      </c>
    </row>
    <row r="44" spans="1:23" s="23" customFormat="1" ht="13" x14ac:dyDescent="0.15">
      <c r="A44" s="65" t="s">
        <v>70</v>
      </c>
      <c r="B44" s="65" t="s">
        <v>37</v>
      </c>
      <c r="C44" s="66"/>
      <c r="D44" s="67" t="s">
        <v>16</v>
      </c>
      <c r="E44" s="68"/>
      <c r="F44" s="67"/>
      <c r="G44" s="67"/>
      <c r="H44" s="67"/>
      <c r="I44" s="67"/>
      <c r="J44" s="75"/>
      <c r="K44" s="22"/>
      <c r="L44" s="69"/>
      <c r="M44" s="11"/>
      <c r="N44" s="11"/>
      <c r="O44" s="107"/>
      <c r="P44" s="197"/>
      <c r="Q44" s="238"/>
      <c r="R44" s="436"/>
      <c r="S44" s="436"/>
      <c r="T44" s="215"/>
      <c r="U44" s="197"/>
      <c r="V44" s="207"/>
      <c r="W44" s="189"/>
    </row>
    <row r="45" spans="1:23" s="23" customFormat="1" ht="13" x14ac:dyDescent="0.15">
      <c r="A45" s="65"/>
      <c r="B45" s="111" t="s">
        <v>294</v>
      </c>
      <c r="C45" s="112"/>
      <c r="D45" s="75" t="s">
        <v>375</v>
      </c>
      <c r="E45" s="68"/>
      <c r="F45" s="67"/>
      <c r="G45" s="67"/>
      <c r="H45" s="67"/>
      <c r="I45" s="67"/>
      <c r="J45" s="75">
        <v>1</v>
      </c>
      <c r="K45" s="28">
        <v>4115.7</v>
      </c>
      <c r="L45" s="73"/>
      <c r="M45" s="11"/>
      <c r="N45" s="11"/>
      <c r="O45" s="107"/>
      <c r="P45" s="197"/>
      <c r="Q45" s="238"/>
      <c r="R45" s="436"/>
      <c r="S45" s="436"/>
      <c r="T45" s="215"/>
      <c r="U45" s="197"/>
      <c r="V45" s="207"/>
      <c r="W45" s="189"/>
    </row>
    <row r="46" spans="1:23" s="23" customFormat="1" ht="13" x14ac:dyDescent="0.15">
      <c r="A46" s="65"/>
      <c r="B46" s="111" t="s">
        <v>457</v>
      </c>
      <c r="C46" s="112"/>
      <c r="D46" s="75" t="s">
        <v>375</v>
      </c>
      <c r="E46" s="68"/>
      <c r="F46" s="67"/>
      <c r="G46" s="67"/>
      <c r="H46" s="67"/>
      <c r="I46" s="67"/>
      <c r="J46" s="75">
        <v>1</v>
      </c>
      <c r="K46" s="28">
        <v>1943.81</v>
      </c>
      <c r="L46" s="73">
        <f t="shared" ref="L46" si="5">K46*J46</f>
        <v>1943.81</v>
      </c>
      <c r="M46" s="11"/>
      <c r="N46" s="11"/>
      <c r="O46" s="107"/>
      <c r="P46" s="197">
        <v>0.05</v>
      </c>
      <c r="Q46" s="238">
        <v>0.95</v>
      </c>
      <c r="R46" s="436"/>
      <c r="S46" s="436"/>
      <c r="T46" s="215"/>
      <c r="U46" s="197"/>
      <c r="V46" s="207">
        <f>SUM(P46:U46)</f>
        <v>1</v>
      </c>
      <c r="W46" s="212">
        <f>V46*L46</f>
        <v>1943.81</v>
      </c>
    </row>
    <row r="47" spans="1:23" s="23" customFormat="1" ht="13" x14ac:dyDescent="0.15">
      <c r="A47" s="65" t="s">
        <v>72</v>
      </c>
      <c r="B47" s="65" t="s">
        <v>71</v>
      </c>
      <c r="C47" s="66"/>
      <c r="D47" s="67" t="s">
        <v>16</v>
      </c>
      <c r="E47" s="68"/>
      <c r="F47" s="67"/>
      <c r="G47" s="67"/>
      <c r="H47" s="67"/>
      <c r="I47" s="67"/>
      <c r="J47" s="75"/>
      <c r="K47" s="22"/>
      <c r="L47" s="69"/>
      <c r="M47" s="11"/>
      <c r="N47" s="11"/>
      <c r="O47" s="107"/>
      <c r="P47" s="197"/>
      <c r="Q47" s="238"/>
      <c r="R47" s="436"/>
      <c r="S47" s="436"/>
      <c r="T47" s="215"/>
      <c r="U47" s="197"/>
      <c r="V47" s="207"/>
      <c r="W47" s="189"/>
    </row>
    <row r="48" spans="1:23" ht="13" x14ac:dyDescent="0.15">
      <c r="A48" s="53"/>
      <c r="B48" s="30"/>
      <c r="C48" s="70"/>
      <c r="D48" s="56"/>
      <c r="E48" s="64"/>
      <c r="F48" s="56"/>
      <c r="G48" s="56"/>
      <c r="H48" s="56"/>
      <c r="I48" s="56"/>
      <c r="J48" s="56"/>
      <c r="P48" s="197"/>
      <c r="Q48" s="238"/>
      <c r="R48" s="436"/>
      <c r="S48" s="436"/>
      <c r="T48" s="215"/>
      <c r="U48" s="197"/>
      <c r="V48" s="207"/>
      <c r="W48" s="189"/>
    </row>
    <row r="49" spans="1:23" s="21" customFormat="1" ht="13" x14ac:dyDescent="0.15">
      <c r="A49" s="57" t="s">
        <v>27</v>
      </c>
      <c r="B49" s="58" t="s">
        <v>38</v>
      </c>
      <c r="C49" s="71"/>
      <c r="D49" s="61"/>
      <c r="E49" s="72"/>
      <c r="F49" s="61"/>
      <c r="G49" s="61"/>
      <c r="H49" s="61"/>
      <c r="I49" s="61"/>
      <c r="J49" s="61"/>
      <c r="K49" s="20"/>
      <c r="L49" s="62"/>
      <c r="M49" s="11"/>
      <c r="N49" s="11"/>
      <c r="O49" s="107"/>
      <c r="P49" s="197"/>
      <c r="Q49" s="238"/>
      <c r="R49" s="436"/>
      <c r="S49" s="436"/>
      <c r="T49" s="215"/>
      <c r="U49" s="197"/>
      <c r="V49" s="207"/>
      <c r="W49" s="189"/>
    </row>
    <row r="50" spans="1:23" ht="5" customHeight="1" x14ac:dyDescent="0.15">
      <c r="A50" s="63"/>
      <c r="B50" s="63"/>
      <c r="C50" s="70"/>
      <c r="D50" s="56"/>
      <c r="E50" s="64"/>
      <c r="F50" s="56"/>
      <c r="G50" s="56"/>
      <c r="H50" s="56"/>
      <c r="I50" s="56"/>
      <c r="J50" s="56"/>
      <c r="P50" s="197"/>
      <c r="Q50" s="238"/>
      <c r="R50" s="436"/>
      <c r="S50" s="436"/>
      <c r="T50" s="215"/>
      <c r="U50" s="197"/>
      <c r="V50" s="207"/>
      <c r="W50" s="189"/>
    </row>
    <row r="51" spans="1:23" s="23" customFormat="1" ht="13" x14ac:dyDescent="0.15">
      <c r="A51" s="65" t="s">
        <v>28</v>
      </c>
      <c r="B51" s="65" t="s">
        <v>148</v>
      </c>
      <c r="C51" s="66"/>
      <c r="D51" s="67" t="s">
        <v>16</v>
      </c>
      <c r="E51" s="68"/>
      <c r="F51" s="67"/>
      <c r="G51" s="67"/>
      <c r="H51" s="67"/>
      <c r="I51" s="67"/>
      <c r="J51" s="67"/>
      <c r="K51" s="22"/>
      <c r="L51" s="69"/>
      <c r="M51" s="11"/>
      <c r="N51" s="11"/>
      <c r="O51" s="107"/>
      <c r="P51" s="197"/>
      <c r="Q51" s="238"/>
      <c r="R51" s="436"/>
      <c r="S51" s="436"/>
      <c r="T51" s="215"/>
      <c r="U51" s="197"/>
      <c r="V51" s="207"/>
      <c r="W51" s="189"/>
    </row>
    <row r="52" spans="1:23" s="23" customFormat="1" ht="13" x14ac:dyDescent="0.15">
      <c r="A52" s="65" t="s">
        <v>54</v>
      </c>
      <c r="B52" s="65" t="s">
        <v>142</v>
      </c>
      <c r="C52" s="66"/>
      <c r="D52" s="67" t="s">
        <v>16</v>
      </c>
      <c r="E52" s="68"/>
      <c r="F52" s="67"/>
      <c r="G52" s="67"/>
      <c r="H52" s="67"/>
      <c r="I52" s="67"/>
      <c r="J52" s="67"/>
      <c r="K52" s="22"/>
      <c r="L52" s="69"/>
      <c r="M52" s="11"/>
      <c r="N52" s="11"/>
      <c r="O52" s="107"/>
      <c r="P52" s="197"/>
      <c r="Q52" s="238"/>
      <c r="R52" s="436"/>
      <c r="S52" s="436"/>
      <c r="T52" s="215"/>
      <c r="U52" s="197"/>
      <c r="V52" s="207"/>
      <c r="W52" s="189"/>
    </row>
    <row r="53" spans="1:23" s="23" customFormat="1" ht="13" x14ac:dyDescent="0.15">
      <c r="A53" s="65" t="s">
        <v>55</v>
      </c>
      <c r="B53" s="65" t="s">
        <v>6</v>
      </c>
      <c r="C53" s="66"/>
      <c r="D53" s="67" t="s">
        <v>16</v>
      </c>
      <c r="E53" s="68"/>
      <c r="F53" s="67"/>
      <c r="G53" s="67"/>
      <c r="H53" s="67"/>
      <c r="I53" s="67"/>
      <c r="J53" s="67"/>
      <c r="K53" s="22"/>
      <c r="L53" s="69"/>
      <c r="M53" s="11"/>
      <c r="N53" s="11"/>
      <c r="O53" s="107"/>
      <c r="P53" s="197"/>
      <c r="Q53" s="238"/>
      <c r="R53" s="436"/>
      <c r="S53" s="436"/>
      <c r="T53" s="215"/>
      <c r="U53" s="197"/>
      <c r="V53" s="207"/>
      <c r="W53" s="189"/>
    </row>
    <row r="54" spans="1:23" s="23" customFormat="1" ht="13" x14ac:dyDescent="0.15">
      <c r="A54" s="65" t="s">
        <v>56</v>
      </c>
      <c r="B54" s="65" t="s">
        <v>7</v>
      </c>
      <c r="C54" s="66"/>
      <c r="D54" s="67" t="s">
        <v>16</v>
      </c>
      <c r="E54" s="68"/>
      <c r="F54" s="67"/>
      <c r="G54" s="67"/>
      <c r="H54" s="67"/>
      <c r="I54" s="67"/>
      <c r="J54" s="67"/>
      <c r="K54" s="22"/>
      <c r="L54" s="69"/>
      <c r="M54" s="11"/>
      <c r="N54" s="11"/>
      <c r="O54" s="107"/>
      <c r="P54" s="197"/>
      <c r="Q54" s="238"/>
      <c r="R54" s="436"/>
      <c r="S54" s="436"/>
      <c r="T54" s="215"/>
      <c r="U54" s="197"/>
      <c r="V54" s="207"/>
      <c r="W54" s="189"/>
    </row>
    <row r="55" spans="1:23" s="23" customFormat="1" ht="13" x14ac:dyDescent="0.15">
      <c r="A55" s="65" t="s">
        <v>57</v>
      </c>
      <c r="B55" s="65" t="s">
        <v>8</v>
      </c>
      <c r="C55" s="66"/>
      <c r="D55" s="67" t="s">
        <v>16</v>
      </c>
      <c r="E55" s="68"/>
      <c r="F55" s="67"/>
      <c r="G55" s="67"/>
      <c r="H55" s="67"/>
      <c r="I55" s="67"/>
      <c r="J55" s="67"/>
      <c r="K55" s="22"/>
      <c r="L55" s="69"/>
      <c r="M55" s="11"/>
      <c r="N55" s="11"/>
      <c r="O55" s="107"/>
      <c r="P55" s="197"/>
      <c r="Q55" s="238"/>
      <c r="R55" s="436"/>
      <c r="S55" s="436"/>
      <c r="T55" s="215"/>
      <c r="U55" s="197"/>
      <c r="V55" s="207"/>
      <c r="W55" s="189"/>
    </row>
    <row r="56" spans="1:23" ht="13" x14ac:dyDescent="0.15">
      <c r="A56" s="53"/>
      <c r="B56" s="30"/>
      <c r="C56" s="70"/>
      <c r="D56" s="56"/>
      <c r="E56" s="64"/>
      <c r="F56" s="56"/>
      <c r="G56" s="56"/>
      <c r="H56" s="56"/>
      <c r="I56" s="56"/>
      <c r="J56" s="56"/>
      <c r="P56" s="197"/>
      <c r="Q56" s="238"/>
      <c r="R56" s="436"/>
      <c r="S56" s="436"/>
      <c r="T56" s="215"/>
      <c r="U56" s="197"/>
      <c r="V56" s="207"/>
      <c r="W56" s="189"/>
    </row>
    <row r="57" spans="1:23" s="21" customFormat="1" ht="13" x14ac:dyDescent="0.15">
      <c r="A57" s="57" t="s">
        <v>58</v>
      </c>
      <c r="B57" s="58" t="s">
        <v>208</v>
      </c>
      <c r="C57" s="71"/>
      <c r="D57" s="61"/>
      <c r="E57" s="72"/>
      <c r="F57" s="61"/>
      <c r="G57" s="61"/>
      <c r="H57" s="61"/>
      <c r="I57" s="61"/>
      <c r="J57" s="61"/>
      <c r="K57" s="20"/>
      <c r="L57" s="62"/>
      <c r="M57" s="11"/>
      <c r="N57" s="39"/>
      <c r="O57" s="107"/>
      <c r="P57" s="197"/>
      <c r="Q57" s="238"/>
      <c r="R57" s="436"/>
      <c r="S57" s="436"/>
      <c r="T57" s="215"/>
      <c r="U57" s="197"/>
      <c r="V57" s="207"/>
      <c r="W57" s="189"/>
    </row>
    <row r="58" spans="1:23" ht="5" customHeight="1" x14ac:dyDescent="0.15">
      <c r="A58" s="63"/>
      <c r="B58" s="63"/>
      <c r="C58" s="70"/>
      <c r="D58" s="56"/>
      <c r="E58" s="64"/>
      <c r="F58" s="56"/>
      <c r="G58" s="56"/>
      <c r="H58" s="56"/>
      <c r="I58" s="56"/>
      <c r="J58" s="56"/>
      <c r="P58" s="197"/>
      <c r="Q58" s="238"/>
      <c r="R58" s="436"/>
      <c r="S58" s="436"/>
      <c r="T58" s="215"/>
      <c r="U58" s="197"/>
      <c r="V58" s="207"/>
      <c r="W58" s="189"/>
    </row>
    <row r="59" spans="1:23" s="23" customFormat="1" ht="13" x14ac:dyDescent="0.15">
      <c r="A59" s="65" t="s">
        <v>26</v>
      </c>
      <c r="B59" s="65" t="s">
        <v>214</v>
      </c>
      <c r="C59" s="66">
        <v>1</v>
      </c>
      <c r="D59" s="67" t="s">
        <v>18</v>
      </c>
      <c r="E59" s="68">
        <v>1</v>
      </c>
      <c r="F59" s="67">
        <v>1</v>
      </c>
      <c r="G59" s="67">
        <v>1</v>
      </c>
      <c r="H59" s="67">
        <v>1</v>
      </c>
      <c r="I59" s="67">
        <v>1</v>
      </c>
      <c r="J59" s="67">
        <f>SUM(E59)</f>
        <v>1</v>
      </c>
      <c r="K59" s="28">
        <v>8625</v>
      </c>
      <c r="L59" s="73">
        <f>SUM(J59*K59)</f>
        <v>8625</v>
      </c>
      <c r="M59" s="11"/>
      <c r="N59" s="11"/>
      <c r="O59" s="107"/>
      <c r="P59" s="197">
        <v>0.05</v>
      </c>
      <c r="Q59" s="238">
        <v>0.95</v>
      </c>
      <c r="R59" s="436"/>
      <c r="S59" s="436"/>
      <c r="T59" s="215"/>
      <c r="U59" s="197"/>
      <c r="V59" s="207">
        <f>SUM(P59:U59)</f>
        <v>1</v>
      </c>
      <c r="W59" s="212">
        <f>V59*L59</f>
        <v>8625</v>
      </c>
    </row>
    <row r="60" spans="1:23" s="23" customFormat="1" ht="13" customHeight="1" x14ac:dyDescent="0.15">
      <c r="A60" s="63"/>
      <c r="B60" s="65" t="s">
        <v>139</v>
      </c>
      <c r="C60" s="66"/>
      <c r="D60" s="67" t="s">
        <v>18</v>
      </c>
      <c r="E60" s="68">
        <v>1</v>
      </c>
      <c r="F60" s="67">
        <v>1</v>
      </c>
      <c r="G60" s="67">
        <v>1</v>
      </c>
      <c r="H60" s="67">
        <v>1</v>
      </c>
      <c r="I60" s="67">
        <f>SUM(E60*F60*G60*H60)</f>
        <v>1</v>
      </c>
      <c r="J60" s="56"/>
      <c r="K60" s="17"/>
      <c r="L60" s="32"/>
      <c r="M60" s="11"/>
      <c r="N60" s="11"/>
      <c r="O60" s="107"/>
      <c r="P60" s="197"/>
      <c r="Q60" s="238"/>
      <c r="R60" s="436"/>
      <c r="S60" s="436"/>
      <c r="T60" s="215"/>
      <c r="U60" s="197"/>
      <c r="V60" s="207"/>
      <c r="W60" s="189"/>
    </row>
    <row r="61" spans="1:23" s="23" customFormat="1" ht="13" customHeight="1" x14ac:dyDescent="0.15">
      <c r="A61" s="63"/>
      <c r="B61" s="65" t="s">
        <v>125</v>
      </c>
      <c r="C61" s="66"/>
      <c r="D61" s="67" t="s">
        <v>9</v>
      </c>
      <c r="E61" s="68">
        <v>1</v>
      </c>
      <c r="F61" s="67">
        <v>24.5</v>
      </c>
      <c r="G61" s="67">
        <v>8.76</v>
      </c>
      <c r="H61" s="67">
        <v>1</v>
      </c>
      <c r="I61" s="67">
        <f>SUM(E61*F61*G61*H61)</f>
        <v>214.62</v>
      </c>
      <c r="J61" s="56"/>
      <c r="K61" s="17"/>
      <c r="L61" s="32"/>
      <c r="M61" s="11"/>
      <c r="N61" s="11"/>
      <c r="O61" s="107"/>
      <c r="P61" s="197"/>
      <c r="Q61" s="238"/>
      <c r="R61" s="436"/>
      <c r="S61" s="436"/>
      <c r="T61" s="215"/>
      <c r="U61" s="197"/>
      <c r="V61" s="207"/>
      <c r="W61" s="189"/>
    </row>
    <row r="62" spans="1:23" s="23" customFormat="1" ht="13" customHeight="1" x14ac:dyDescent="0.15">
      <c r="A62" s="63"/>
      <c r="B62" s="65" t="s">
        <v>126</v>
      </c>
      <c r="C62" s="66"/>
      <c r="D62" s="67" t="s">
        <v>19</v>
      </c>
      <c r="E62" s="68">
        <v>1</v>
      </c>
      <c r="F62" s="67">
        <v>10</v>
      </c>
      <c r="G62" s="67">
        <v>5</v>
      </c>
      <c r="H62" s="67">
        <v>1.2</v>
      </c>
      <c r="I62" s="67">
        <f>SUM(E62*F62*G62*H62)</f>
        <v>60</v>
      </c>
      <c r="J62" s="56"/>
      <c r="K62" s="17"/>
      <c r="L62" s="32"/>
      <c r="M62" s="11"/>
      <c r="N62" s="11"/>
      <c r="O62" s="107"/>
      <c r="P62" s="197"/>
      <c r="Q62" s="238"/>
      <c r="R62" s="436"/>
      <c r="S62" s="436"/>
      <c r="T62" s="215"/>
      <c r="U62" s="197"/>
      <c r="V62" s="207"/>
      <c r="W62" s="189"/>
    </row>
    <row r="63" spans="1:23" s="23" customFormat="1" ht="13" customHeight="1" x14ac:dyDescent="0.15">
      <c r="A63" s="63"/>
      <c r="B63" s="65" t="s">
        <v>166</v>
      </c>
      <c r="C63" s="66"/>
      <c r="D63" s="74" t="s">
        <v>18</v>
      </c>
      <c r="E63" s="256">
        <v>1</v>
      </c>
      <c r="F63" s="74">
        <v>1</v>
      </c>
      <c r="G63" s="74">
        <v>1</v>
      </c>
      <c r="H63" s="74">
        <v>1</v>
      </c>
      <c r="I63" s="67">
        <f>SUM(E63*F63*G63*H63)</f>
        <v>1</v>
      </c>
      <c r="J63" s="56"/>
      <c r="K63" s="17"/>
      <c r="L63" s="32"/>
      <c r="M63" s="11"/>
      <c r="N63" s="11"/>
      <c r="O63" s="107"/>
      <c r="P63" s="197"/>
      <c r="Q63" s="238"/>
      <c r="R63" s="436"/>
      <c r="S63" s="436"/>
      <c r="T63" s="215"/>
      <c r="U63" s="197"/>
      <c r="V63" s="207"/>
      <c r="W63" s="189"/>
    </row>
    <row r="64" spans="1:23" ht="13" customHeight="1" x14ac:dyDescent="0.15">
      <c r="A64" s="63"/>
      <c r="B64" s="63"/>
      <c r="C64" s="70"/>
      <c r="D64" s="56"/>
      <c r="E64" s="64"/>
      <c r="F64" s="56"/>
      <c r="G64" s="56"/>
      <c r="H64" s="56"/>
      <c r="I64" s="56"/>
      <c r="J64" s="56"/>
      <c r="P64" s="197"/>
      <c r="Q64" s="238"/>
      <c r="R64" s="436"/>
      <c r="S64" s="436"/>
      <c r="T64" s="215"/>
      <c r="U64" s="197"/>
      <c r="V64" s="207"/>
      <c r="W64" s="189"/>
    </row>
    <row r="65" spans="1:23" s="23" customFormat="1" ht="13" customHeight="1" x14ac:dyDescent="0.15">
      <c r="A65" s="65" t="s">
        <v>104</v>
      </c>
      <c r="B65" s="65" t="s">
        <v>215</v>
      </c>
      <c r="C65" s="66">
        <v>1</v>
      </c>
      <c r="D65" s="67" t="s">
        <v>18</v>
      </c>
      <c r="E65" s="68">
        <v>1</v>
      </c>
      <c r="F65" s="67">
        <v>1</v>
      </c>
      <c r="G65" s="67">
        <v>1</v>
      </c>
      <c r="H65" s="67">
        <v>1</v>
      </c>
      <c r="I65" s="67">
        <v>1</v>
      </c>
      <c r="J65" s="67">
        <f>SUM(E65)</f>
        <v>1</v>
      </c>
      <c r="K65" s="28">
        <v>10350</v>
      </c>
      <c r="L65" s="73">
        <f>SUM(J65*K65)</f>
        <v>10350</v>
      </c>
      <c r="M65" s="11"/>
      <c r="N65" s="11"/>
      <c r="O65" s="107"/>
      <c r="P65" s="197">
        <v>0.05</v>
      </c>
      <c r="Q65" s="238">
        <v>0.95</v>
      </c>
      <c r="R65" s="436"/>
      <c r="S65" s="436"/>
      <c r="T65" s="215"/>
      <c r="U65" s="197"/>
      <c r="V65" s="207">
        <f>SUM(P65:U65)</f>
        <v>1</v>
      </c>
      <c r="W65" s="212">
        <f>V65*L65</f>
        <v>10350</v>
      </c>
    </row>
    <row r="66" spans="1:23" s="23" customFormat="1" ht="13" customHeight="1" x14ac:dyDescent="0.15">
      <c r="A66" s="63"/>
      <c r="B66" s="65" t="s">
        <v>139</v>
      </c>
      <c r="C66" s="66"/>
      <c r="D66" s="67" t="s">
        <v>18</v>
      </c>
      <c r="E66" s="68">
        <v>1</v>
      </c>
      <c r="F66" s="67">
        <v>1</v>
      </c>
      <c r="G66" s="67">
        <v>1</v>
      </c>
      <c r="H66" s="67">
        <v>1</v>
      </c>
      <c r="I66" s="67">
        <f>SUM(E66*F66*G66*H66)</f>
        <v>1</v>
      </c>
      <c r="J66" s="56"/>
      <c r="K66" s="17"/>
      <c r="L66" s="32"/>
      <c r="M66" s="11"/>
      <c r="N66" s="11"/>
      <c r="O66" s="107"/>
      <c r="P66" s="197"/>
      <c r="Q66" s="238"/>
      <c r="R66" s="436"/>
      <c r="S66" s="436"/>
      <c r="T66" s="215"/>
      <c r="U66" s="197"/>
      <c r="V66" s="207"/>
      <c r="W66" s="189"/>
    </row>
    <row r="67" spans="1:23" s="23" customFormat="1" ht="13" customHeight="1" x14ac:dyDescent="0.15">
      <c r="A67" s="63"/>
      <c r="B67" s="65" t="s">
        <v>125</v>
      </c>
      <c r="C67" s="66"/>
      <c r="D67" s="67" t="s">
        <v>9</v>
      </c>
      <c r="E67" s="68">
        <v>1</v>
      </c>
      <c r="F67" s="67">
        <v>25.97</v>
      </c>
      <c r="G67" s="67">
        <v>14.28</v>
      </c>
      <c r="H67" s="67">
        <v>1</v>
      </c>
      <c r="I67" s="67">
        <f t="shared" ref="I67:I73" si="6">SUM(E67*F67*G67*H67)</f>
        <v>370.85</v>
      </c>
      <c r="J67" s="56"/>
      <c r="K67" s="17"/>
      <c r="L67" s="32"/>
      <c r="M67" s="11"/>
      <c r="N67" s="11"/>
      <c r="O67" s="107"/>
      <c r="P67" s="197"/>
      <c r="Q67" s="238"/>
      <c r="R67" s="436"/>
      <c r="S67" s="436"/>
      <c r="T67" s="215"/>
      <c r="U67" s="197"/>
      <c r="V67" s="207"/>
      <c r="W67" s="189"/>
    </row>
    <row r="68" spans="1:23" s="23" customFormat="1" ht="13" customHeight="1" x14ac:dyDescent="0.15">
      <c r="A68" s="63"/>
      <c r="B68" s="65" t="s">
        <v>127</v>
      </c>
      <c r="C68" s="66"/>
      <c r="D68" s="67" t="s">
        <v>19</v>
      </c>
      <c r="E68" s="68">
        <v>1</v>
      </c>
      <c r="F68" s="67">
        <v>25.78</v>
      </c>
      <c r="G68" s="67">
        <v>13.9</v>
      </c>
      <c r="H68" s="67">
        <v>0.5</v>
      </c>
      <c r="I68" s="67">
        <f>SUM(E68*F68*G68*H68)</f>
        <v>179.17</v>
      </c>
      <c r="J68" s="56"/>
      <c r="K68" s="17"/>
      <c r="L68" s="32"/>
      <c r="M68" s="11"/>
      <c r="N68" s="11"/>
      <c r="O68" s="107"/>
      <c r="P68" s="197"/>
      <c r="Q68" s="238"/>
      <c r="R68" s="436"/>
      <c r="S68" s="436"/>
      <c r="T68" s="215"/>
      <c r="U68" s="197"/>
      <c r="V68" s="207"/>
      <c r="W68" s="189"/>
    </row>
    <row r="69" spans="1:23" s="23" customFormat="1" ht="13" customHeight="1" x14ac:dyDescent="0.15">
      <c r="A69" s="63"/>
      <c r="B69" s="65" t="s">
        <v>114</v>
      </c>
      <c r="C69" s="66"/>
      <c r="D69" s="67" t="s">
        <v>19</v>
      </c>
      <c r="E69" s="68">
        <v>1</v>
      </c>
      <c r="F69" s="67">
        <v>25.78</v>
      </c>
      <c r="G69" s="67">
        <v>0.19</v>
      </c>
      <c r="H69" s="67">
        <v>0.9</v>
      </c>
      <c r="I69" s="67">
        <f>SUM(E69*F69*G69*H69)</f>
        <v>4.41</v>
      </c>
      <c r="J69" s="56"/>
      <c r="K69" s="17"/>
      <c r="L69" s="32"/>
      <c r="M69" s="11"/>
      <c r="N69" s="11"/>
      <c r="O69" s="107"/>
      <c r="P69" s="197"/>
      <c r="Q69" s="238"/>
      <c r="R69" s="436"/>
      <c r="S69" s="436"/>
      <c r="T69" s="215"/>
      <c r="U69" s="197"/>
      <c r="V69" s="207"/>
      <c r="W69" s="189"/>
    </row>
    <row r="70" spans="1:23" s="23" customFormat="1" ht="13" customHeight="1" x14ac:dyDescent="0.15">
      <c r="A70" s="63"/>
      <c r="B70" s="65" t="s">
        <v>115</v>
      </c>
      <c r="C70" s="66"/>
      <c r="D70" s="67" t="s">
        <v>19</v>
      </c>
      <c r="E70" s="68">
        <v>1</v>
      </c>
      <c r="F70" s="67">
        <v>25.78</v>
      </c>
      <c r="G70" s="67">
        <v>0.19</v>
      </c>
      <c r="H70" s="67">
        <v>3.28</v>
      </c>
      <c r="I70" s="67">
        <f t="shared" si="6"/>
        <v>16.07</v>
      </c>
      <c r="J70" s="56"/>
      <c r="K70" s="17"/>
      <c r="L70" s="32"/>
      <c r="M70" s="11"/>
      <c r="N70" s="11"/>
      <c r="O70" s="107"/>
      <c r="P70" s="197"/>
      <c r="Q70" s="238"/>
      <c r="R70" s="436"/>
      <c r="S70" s="436"/>
      <c r="T70" s="215"/>
      <c r="U70" s="197"/>
      <c r="V70" s="207"/>
      <c r="W70" s="189"/>
    </row>
    <row r="71" spans="1:23" s="23" customFormat="1" ht="13" customHeight="1" x14ac:dyDescent="0.15">
      <c r="A71" s="63"/>
      <c r="B71" s="65" t="s">
        <v>109</v>
      </c>
      <c r="C71" s="66"/>
      <c r="D71" s="67" t="s">
        <v>19</v>
      </c>
      <c r="E71" s="68">
        <v>-1</v>
      </c>
      <c r="F71" s="67">
        <v>1</v>
      </c>
      <c r="G71" s="67">
        <v>0.19</v>
      </c>
      <c r="H71" s="67">
        <v>2</v>
      </c>
      <c r="I71" s="67">
        <f t="shared" si="6"/>
        <v>-0.38</v>
      </c>
      <c r="J71" s="56"/>
      <c r="K71" s="17"/>
      <c r="L71" s="32"/>
      <c r="M71" s="11"/>
      <c r="N71" s="11"/>
      <c r="O71" s="107"/>
      <c r="P71" s="197"/>
      <c r="Q71" s="238"/>
      <c r="R71" s="436"/>
      <c r="S71" s="436"/>
      <c r="T71" s="215"/>
      <c r="U71" s="197"/>
      <c r="V71" s="207"/>
      <c r="W71" s="189"/>
    </row>
    <row r="72" spans="1:23" s="23" customFormat="1" ht="13" customHeight="1" x14ac:dyDescent="0.15">
      <c r="A72" s="63"/>
      <c r="B72" s="65" t="s">
        <v>109</v>
      </c>
      <c r="C72" s="66"/>
      <c r="D72" s="67" t="s">
        <v>19</v>
      </c>
      <c r="E72" s="68">
        <v>-1</v>
      </c>
      <c r="F72" s="67">
        <v>1.23</v>
      </c>
      <c r="G72" s="67">
        <v>0.19</v>
      </c>
      <c r="H72" s="67">
        <v>2.09</v>
      </c>
      <c r="I72" s="67">
        <f t="shared" si="6"/>
        <v>-0.49</v>
      </c>
      <c r="J72" s="56"/>
      <c r="K72" s="17"/>
      <c r="L72" s="32"/>
      <c r="M72" s="11"/>
      <c r="N72" s="11"/>
      <c r="O72" s="107"/>
      <c r="P72" s="197"/>
      <c r="Q72" s="238"/>
      <c r="R72" s="436"/>
      <c r="S72" s="436"/>
      <c r="T72" s="215"/>
      <c r="U72" s="197"/>
      <c r="V72" s="207"/>
      <c r="W72" s="189"/>
    </row>
    <row r="73" spans="1:23" s="23" customFormat="1" ht="13" customHeight="1" x14ac:dyDescent="0.15">
      <c r="A73" s="63"/>
      <c r="B73" s="65" t="s">
        <v>116</v>
      </c>
      <c r="C73" s="66"/>
      <c r="D73" s="67" t="s">
        <v>19</v>
      </c>
      <c r="E73" s="68">
        <v>2</v>
      </c>
      <c r="F73" s="67">
        <v>14.28</v>
      </c>
      <c r="G73" s="67">
        <v>0.19</v>
      </c>
      <c r="H73" s="67">
        <v>2.06</v>
      </c>
      <c r="I73" s="67">
        <f t="shared" si="6"/>
        <v>11.18</v>
      </c>
      <c r="J73" s="56"/>
      <c r="K73" s="17"/>
      <c r="L73" s="32"/>
      <c r="M73" s="11"/>
      <c r="N73" s="11"/>
      <c r="O73" s="107"/>
      <c r="P73" s="197"/>
      <c r="Q73" s="238"/>
      <c r="R73" s="436"/>
      <c r="S73" s="436"/>
      <c r="T73" s="215"/>
      <c r="U73" s="197"/>
      <c r="V73" s="207"/>
      <c r="W73" s="189"/>
    </row>
    <row r="74" spans="1:23" s="23" customFormat="1" ht="13" customHeight="1" x14ac:dyDescent="0.15">
      <c r="A74" s="63"/>
      <c r="B74" s="65" t="s">
        <v>116</v>
      </c>
      <c r="C74" s="66"/>
      <c r="D74" s="67" t="s">
        <v>19</v>
      </c>
      <c r="E74" s="68">
        <v>1</v>
      </c>
      <c r="F74" s="67">
        <v>14.28</v>
      </c>
      <c r="G74" s="67">
        <v>0.19</v>
      </c>
      <c r="H74" s="67">
        <v>3.11</v>
      </c>
      <c r="I74" s="67">
        <f t="shared" ref="I74:I79" si="7">SUM(E74*F74*G74*H74)</f>
        <v>8.44</v>
      </c>
      <c r="J74" s="56"/>
      <c r="K74" s="17"/>
      <c r="L74" s="32"/>
      <c r="M74" s="11"/>
      <c r="N74" s="11"/>
      <c r="O74" s="107"/>
      <c r="P74" s="197"/>
      <c r="Q74" s="238"/>
      <c r="R74" s="436"/>
      <c r="S74" s="436"/>
      <c r="T74" s="215"/>
      <c r="U74" s="197"/>
      <c r="V74" s="207"/>
      <c r="W74" s="189"/>
    </row>
    <row r="75" spans="1:23" s="23" customFormat="1" ht="13" customHeight="1" x14ac:dyDescent="0.15">
      <c r="A75" s="63"/>
      <c r="B75" s="65" t="s">
        <v>129</v>
      </c>
      <c r="C75" s="66"/>
      <c r="D75" s="67" t="s">
        <v>19</v>
      </c>
      <c r="E75" s="68">
        <v>1</v>
      </c>
      <c r="F75" s="67">
        <v>10</v>
      </c>
      <c r="G75" s="67">
        <v>0.19</v>
      </c>
      <c r="H75" s="67">
        <v>0.4</v>
      </c>
      <c r="I75" s="67">
        <f t="shared" si="7"/>
        <v>0.76</v>
      </c>
      <c r="J75" s="56"/>
      <c r="K75" s="17"/>
      <c r="L75" s="32"/>
      <c r="M75" s="11"/>
      <c r="N75" s="11"/>
      <c r="O75" s="107"/>
      <c r="P75" s="197"/>
      <c r="Q75" s="238"/>
      <c r="R75" s="436"/>
      <c r="S75" s="436"/>
      <c r="T75" s="215"/>
      <c r="U75" s="197"/>
      <c r="V75" s="207"/>
      <c r="W75" s="189"/>
    </row>
    <row r="76" spans="1:23" s="23" customFormat="1" ht="13" customHeight="1" x14ac:dyDescent="0.15">
      <c r="A76" s="63"/>
      <c r="B76" s="65" t="s">
        <v>128</v>
      </c>
      <c r="C76" s="66"/>
      <c r="D76" s="67" t="s">
        <v>51</v>
      </c>
      <c r="E76" s="68">
        <v>8</v>
      </c>
      <c r="F76" s="67">
        <v>1</v>
      </c>
      <c r="G76" s="67">
        <v>1</v>
      </c>
      <c r="H76" s="67">
        <v>1</v>
      </c>
      <c r="I76" s="67">
        <f t="shared" si="7"/>
        <v>8</v>
      </c>
      <c r="J76" s="56"/>
      <c r="K76" s="17"/>
      <c r="L76" s="32"/>
      <c r="M76" s="11"/>
      <c r="N76" s="11"/>
      <c r="O76" s="107"/>
      <c r="P76" s="197"/>
      <c r="Q76" s="238"/>
      <c r="R76" s="436"/>
      <c r="S76" s="436"/>
      <c r="T76" s="215"/>
      <c r="U76" s="197"/>
      <c r="V76" s="207"/>
      <c r="W76" s="189"/>
    </row>
    <row r="77" spans="1:23" s="23" customFormat="1" ht="13" customHeight="1" x14ac:dyDescent="0.15">
      <c r="A77" s="63"/>
      <c r="B77" s="65" t="s">
        <v>110</v>
      </c>
      <c r="C77" s="66"/>
      <c r="D77" s="67" t="s">
        <v>51</v>
      </c>
      <c r="E77" s="68">
        <v>1</v>
      </c>
      <c r="F77" s="67">
        <v>4</v>
      </c>
      <c r="G77" s="67">
        <v>1</v>
      </c>
      <c r="H77" s="67">
        <v>1</v>
      </c>
      <c r="I77" s="67">
        <f t="shared" si="7"/>
        <v>4</v>
      </c>
      <c r="J77" s="56"/>
      <c r="K77" s="17"/>
      <c r="L77" s="32"/>
      <c r="M77" s="11"/>
      <c r="N77" s="11"/>
      <c r="O77" s="107"/>
      <c r="P77" s="197"/>
      <c r="Q77" s="238"/>
      <c r="R77" s="436"/>
      <c r="S77" s="436"/>
      <c r="T77" s="215"/>
      <c r="U77" s="197"/>
      <c r="V77" s="207"/>
      <c r="W77" s="189"/>
    </row>
    <row r="78" spans="1:23" s="23" customFormat="1" ht="24" x14ac:dyDescent="0.15">
      <c r="A78" s="63"/>
      <c r="B78" s="65" t="s">
        <v>136</v>
      </c>
      <c r="C78" s="66">
        <v>1</v>
      </c>
      <c r="D78" s="67" t="s">
        <v>9</v>
      </c>
      <c r="E78" s="68">
        <v>2</v>
      </c>
      <c r="F78" s="67">
        <v>25.97</v>
      </c>
      <c r="G78" s="67">
        <v>7.41</v>
      </c>
      <c r="H78" s="67">
        <v>1</v>
      </c>
      <c r="I78" s="67">
        <f>SUM(E78*F78*G78*H78)</f>
        <v>384.88</v>
      </c>
      <c r="J78" s="75">
        <f>+I78</f>
        <v>384.88</v>
      </c>
      <c r="K78" s="28">
        <v>7.65</v>
      </c>
      <c r="L78" s="73">
        <f>SUM(J78*K78)</f>
        <v>2944.33</v>
      </c>
      <c r="M78" s="11"/>
      <c r="N78" s="11"/>
      <c r="O78" s="107" t="s">
        <v>379</v>
      </c>
      <c r="P78" s="196">
        <v>0.05</v>
      </c>
      <c r="Q78" s="238">
        <v>0.95</v>
      </c>
      <c r="R78" s="437"/>
      <c r="S78" s="437"/>
      <c r="T78" s="489"/>
      <c r="U78" s="196"/>
      <c r="V78" s="207">
        <f>SUM(P78:U78)</f>
        <v>1</v>
      </c>
      <c r="W78" s="212">
        <f>V78*L78</f>
        <v>2944.33</v>
      </c>
    </row>
    <row r="79" spans="1:23" ht="13" customHeight="1" x14ac:dyDescent="0.15">
      <c r="A79" s="63"/>
      <c r="B79" s="65" t="s">
        <v>130</v>
      </c>
      <c r="C79" s="257"/>
      <c r="D79" s="74" t="s">
        <v>18</v>
      </c>
      <c r="E79" s="256">
        <v>1</v>
      </c>
      <c r="F79" s="74">
        <v>1</v>
      </c>
      <c r="G79" s="74">
        <v>1</v>
      </c>
      <c r="H79" s="74">
        <v>1</v>
      </c>
      <c r="I79" s="67">
        <f t="shared" si="7"/>
        <v>1</v>
      </c>
      <c r="J79" s="56"/>
      <c r="P79" s="197"/>
      <c r="Q79" s="238"/>
      <c r="R79" s="436"/>
      <c r="S79" s="436"/>
      <c r="T79" s="215"/>
      <c r="U79" s="197"/>
      <c r="V79" s="207"/>
      <c r="W79" s="189"/>
    </row>
    <row r="80" spans="1:23" s="23" customFormat="1" ht="13" customHeight="1" x14ac:dyDescent="0.15">
      <c r="A80" s="63"/>
      <c r="B80" s="65" t="s">
        <v>166</v>
      </c>
      <c r="C80" s="66"/>
      <c r="D80" s="74" t="s">
        <v>18</v>
      </c>
      <c r="E80" s="256">
        <v>1</v>
      </c>
      <c r="F80" s="74">
        <v>1</v>
      </c>
      <c r="G80" s="74">
        <v>1</v>
      </c>
      <c r="H80" s="74">
        <v>1</v>
      </c>
      <c r="I80" s="67">
        <f>SUM(E80*F80*G80*H80)</f>
        <v>1</v>
      </c>
      <c r="J80" s="56"/>
      <c r="K80" s="17"/>
      <c r="L80" s="32"/>
      <c r="M80" s="11"/>
      <c r="N80" s="11"/>
      <c r="O80" s="107"/>
      <c r="P80" s="197"/>
      <c r="Q80" s="238"/>
      <c r="R80" s="436"/>
      <c r="S80" s="436"/>
      <c r="T80" s="215"/>
      <c r="U80" s="197"/>
      <c r="V80" s="207"/>
      <c r="W80" s="189"/>
    </row>
    <row r="81" spans="1:23" ht="13" customHeight="1" x14ac:dyDescent="0.15">
      <c r="A81" s="63"/>
      <c r="B81" s="63"/>
      <c r="C81" s="70"/>
      <c r="D81" s="56"/>
      <c r="E81" s="64"/>
      <c r="F81" s="56"/>
      <c r="G81" s="56"/>
      <c r="H81" s="56"/>
      <c r="I81" s="56"/>
      <c r="J81" s="56"/>
      <c r="P81" s="197"/>
      <c r="Q81" s="238"/>
      <c r="R81" s="436"/>
      <c r="S81" s="436"/>
      <c r="T81" s="215"/>
      <c r="U81" s="197"/>
      <c r="V81" s="207"/>
      <c r="W81" s="189"/>
    </row>
    <row r="82" spans="1:23" s="23" customFormat="1" ht="13" customHeight="1" x14ac:dyDescent="0.15">
      <c r="A82" s="65" t="s">
        <v>105</v>
      </c>
      <c r="B82" s="65" t="s">
        <v>216</v>
      </c>
      <c r="C82" s="66">
        <v>1</v>
      </c>
      <c r="D82" s="67" t="s">
        <v>18</v>
      </c>
      <c r="E82" s="68">
        <v>1</v>
      </c>
      <c r="F82" s="67">
        <v>1</v>
      </c>
      <c r="G82" s="67">
        <v>1</v>
      </c>
      <c r="H82" s="67">
        <v>1</v>
      </c>
      <c r="I82" s="67">
        <f t="shared" ref="I82:I93" si="8">SUM(E82*F82*G82*H82)</f>
        <v>1</v>
      </c>
      <c r="J82" s="67">
        <f>SUM(E82)</f>
        <v>1</v>
      </c>
      <c r="K82" s="28">
        <v>17250</v>
      </c>
      <c r="L82" s="73">
        <f>SUM(J82*K82)</f>
        <v>17250</v>
      </c>
      <c r="M82" s="11"/>
      <c r="N82" s="11"/>
      <c r="O82" s="107"/>
      <c r="P82" s="197">
        <v>0.05</v>
      </c>
      <c r="Q82" s="238">
        <v>0.95</v>
      </c>
      <c r="R82" s="436"/>
      <c r="S82" s="436"/>
      <c r="T82" s="215"/>
      <c r="U82" s="197"/>
      <c r="V82" s="207">
        <f>SUM(P82:U82)</f>
        <v>1</v>
      </c>
      <c r="W82" s="212">
        <f>V82*L82</f>
        <v>17250</v>
      </c>
    </row>
    <row r="83" spans="1:23" s="23" customFormat="1" ht="13" customHeight="1" x14ac:dyDescent="0.15">
      <c r="A83" s="63"/>
      <c r="B83" s="65" t="s">
        <v>139</v>
      </c>
      <c r="C83" s="66"/>
      <c r="D83" s="67" t="s">
        <v>18</v>
      </c>
      <c r="E83" s="68">
        <v>1</v>
      </c>
      <c r="F83" s="67">
        <v>1</v>
      </c>
      <c r="G83" s="67">
        <v>1</v>
      </c>
      <c r="H83" s="67">
        <v>1</v>
      </c>
      <c r="I83" s="67">
        <f>SUM(E83*F83*G83*H83)</f>
        <v>1</v>
      </c>
      <c r="J83" s="56"/>
      <c r="K83" s="17"/>
      <c r="L83" s="32"/>
      <c r="M83" s="11"/>
      <c r="N83" s="11"/>
      <c r="O83" s="107"/>
      <c r="P83" s="197"/>
      <c r="Q83" s="238"/>
      <c r="R83" s="436"/>
      <c r="S83" s="436"/>
      <c r="T83" s="215"/>
      <c r="U83" s="197"/>
      <c r="V83" s="207"/>
      <c r="W83" s="189"/>
    </row>
    <row r="84" spans="1:23" s="23" customFormat="1" ht="13" customHeight="1" x14ac:dyDescent="0.15">
      <c r="A84" s="63"/>
      <c r="B84" s="65" t="s">
        <v>125</v>
      </c>
      <c r="C84" s="66"/>
      <c r="D84" s="67" t="s">
        <v>9</v>
      </c>
      <c r="E84" s="68">
        <v>1</v>
      </c>
      <c r="F84" s="67">
        <v>158</v>
      </c>
      <c r="G84" s="67">
        <v>1</v>
      </c>
      <c r="H84" s="67">
        <v>1</v>
      </c>
      <c r="I84" s="67">
        <f t="shared" si="8"/>
        <v>158</v>
      </c>
      <c r="J84" s="56"/>
      <c r="K84" s="17"/>
      <c r="L84" s="32"/>
      <c r="M84" s="11"/>
      <c r="N84" s="11"/>
      <c r="O84" s="107"/>
      <c r="P84" s="197"/>
      <c r="Q84" s="238"/>
      <c r="R84" s="436"/>
      <c r="S84" s="436"/>
      <c r="T84" s="215"/>
      <c r="U84" s="197"/>
      <c r="V84" s="207"/>
      <c r="W84" s="189"/>
    </row>
    <row r="85" spans="1:23" s="23" customFormat="1" ht="13" customHeight="1" x14ac:dyDescent="0.15">
      <c r="A85" s="63"/>
      <c r="B85" s="65" t="s">
        <v>111</v>
      </c>
      <c r="C85" s="66"/>
      <c r="D85" s="67" t="s">
        <v>19</v>
      </c>
      <c r="E85" s="68">
        <v>1</v>
      </c>
      <c r="F85" s="67">
        <v>10.3</v>
      </c>
      <c r="G85" s="67">
        <v>0.19</v>
      </c>
      <c r="H85" s="67">
        <v>3.3</v>
      </c>
      <c r="I85" s="67">
        <f t="shared" si="8"/>
        <v>6.46</v>
      </c>
      <c r="J85" s="56"/>
      <c r="K85" s="17"/>
      <c r="L85" s="32"/>
      <c r="M85" s="11"/>
      <c r="N85" s="11"/>
      <c r="O85" s="107"/>
      <c r="P85" s="197"/>
      <c r="Q85" s="238"/>
      <c r="R85" s="436"/>
      <c r="S85" s="436"/>
      <c r="T85" s="215"/>
      <c r="U85" s="197"/>
      <c r="V85" s="207"/>
      <c r="W85" s="189"/>
    </row>
    <row r="86" spans="1:23" s="23" customFormat="1" ht="13" customHeight="1" x14ac:dyDescent="0.15">
      <c r="A86" s="63"/>
      <c r="B86" s="65" t="s">
        <v>112</v>
      </c>
      <c r="C86" s="66"/>
      <c r="D86" s="67" t="s">
        <v>19</v>
      </c>
      <c r="E86" s="68">
        <v>1</v>
      </c>
      <c r="F86" s="67">
        <v>13.79</v>
      </c>
      <c r="G86" s="67">
        <v>0.19</v>
      </c>
      <c r="H86" s="67">
        <v>2.4</v>
      </c>
      <c r="I86" s="67">
        <f t="shared" si="8"/>
        <v>6.29</v>
      </c>
      <c r="J86" s="56"/>
      <c r="K86" s="17"/>
      <c r="L86" s="32"/>
      <c r="M86" s="11"/>
      <c r="N86" s="11"/>
      <c r="O86" s="107"/>
      <c r="P86" s="197"/>
      <c r="Q86" s="238"/>
      <c r="R86" s="436"/>
      <c r="S86" s="436"/>
      <c r="T86" s="215"/>
      <c r="U86" s="197"/>
      <c r="V86" s="207"/>
      <c r="W86" s="189"/>
    </row>
    <row r="87" spans="1:23" s="23" customFormat="1" ht="13" customHeight="1" x14ac:dyDescent="0.15">
      <c r="A87" s="63"/>
      <c r="B87" s="65" t="s">
        <v>131</v>
      </c>
      <c r="C87" s="66"/>
      <c r="D87" s="67" t="s">
        <v>19</v>
      </c>
      <c r="E87" s="68">
        <v>1</v>
      </c>
      <c r="F87" s="67">
        <v>13.79</v>
      </c>
      <c r="G87" s="67">
        <v>0.19</v>
      </c>
      <c r="H87" s="67">
        <v>1.2</v>
      </c>
      <c r="I87" s="67">
        <f t="shared" si="8"/>
        <v>3.14</v>
      </c>
      <c r="J87" s="56"/>
      <c r="K87" s="17"/>
      <c r="L87" s="32"/>
      <c r="M87" s="11"/>
      <c r="N87" s="11"/>
      <c r="O87" s="107"/>
      <c r="P87" s="197"/>
      <c r="Q87" s="238"/>
      <c r="R87" s="436"/>
      <c r="S87" s="436"/>
      <c r="T87" s="215"/>
      <c r="U87" s="197"/>
      <c r="V87" s="207"/>
      <c r="W87" s="189"/>
    </row>
    <row r="88" spans="1:23" s="23" customFormat="1" ht="13" customHeight="1" x14ac:dyDescent="0.15">
      <c r="A88" s="63"/>
      <c r="B88" s="65" t="s">
        <v>113</v>
      </c>
      <c r="C88" s="66"/>
      <c r="D88" s="67" t="s">
        <v>19</v>
      </c>
      <c r="E88" s="68">
        <v>1</v>
      </c>
      <c r="F88" s="67">
        <v>42.5</v>
      </c>
      <c r="G88" s="67">
        <v>0.19</v>
      </c>
      <c r="H88" s="67">
        <v>1</v>
      </c>
      <c r="I88" s="67">
        <f t="shared" si="8"/>
        <v>8.08</v>
      </c>
      <c r="J88" s="56"/>
      <c r="K88" s="17"/>
      <c r="L88" s="32"/>
      <c r="M88" s="11"/>
      <c r="N88" s="11"/>
      <c r="O88" s="107"/>
      <c r="P88" s="197"/>
      <c r="Q88" s="238"/>
      <c r="R88" s="436"/>
      <c r="S88" s="436"/>
      <c r="T88" s="215"/>
      <c r="U88" s="197"/>
      <c r="V88" s="207"/>
      <c r="W88" s="189"/>
    </row>
    <row r="89" spans="1:23" s="23" customFormat="1" ht="13" customHeight="1" x14ac:dyDescent="0.15">
      <c r="A89" s="63"/>
      <c r="B89" s="65" t="s">
        <v>132</v>
      </c>
      <c r="C89" s="66"/>
      <c r="D89" s="67" t="s">
        <v>19</v>
      </c>
      <c r="E89" s="68">
        <v>1</v>
      </c>
      <c r="F89" s="67">
        <v>13.52</v>
      </c>
      <c r="G89" s="67">
        <v>0.19</v>
      </c>
      <c r="H89" s="67">
        <v>1.9</v>
      </c>
      <c r="I89" s="67">
        <f t="shared" si="8"/>
        <v>4.88</v>
      </c>
      <c r="J89" s="56"/>
      <c r="K89" s="17"/>
      <c r="L89" s="32"/>
      <c r="M89" s="11"/>
      <c r="N89" s="11"/>
      <c r="O89" s="107"/>
      <c r="P89" s="197"/>
      <c r="Q89" s="238"/>
      <c r="R89" s="436"/>
      <c r="S89" s="436"/>
      <c r="T89" s="215"/>
      <c r="U89" s="197"/>
      <c r="V89" s="207"/>
      <c r="W89" s="189"/>
    </row>
    <row r="90" spans="1:23" s="23" customFormat="1" ht="13" customHeight="1" x14ac:dyDescent="0.15">
      <c r="A90" s="63"/>
      <c r="B90" s="65" t="s">
        <v>133</v>
      </c>
      <c r="C90" s="66"/>
      <c r="D90" s="67" t="s">
        <v>19</v>
      </c>
      <c r="E90" s="68">
        <v>3</v>
      </c>
      <c r="F90" s="67">
        <v>0.4</v>
      </c>
      <c r="G90" s="67">
        <v>0.19</v>
      </c>
      <c r="H90" s="67">
        <v>1.4</v>
      </c>
      <c r="I90" s="67">
        <f t="shared" si="8"/>
        <v>0.32</v>
      </c>
      <c r="J90" s="56"/>
      <c r="K90" s="17"/>
      <c r="L90" s="32"/>
      <c r="M90" s="11"/>
      <c r="N90" s="11"/>
      <c r="O90" s="107"/>
      <c r="P90" s="197"/>
      <c r="Q90" s="238"/>
      <c r="R90" s="436"/>
      <c r="S90" s="436"/>
      <c r="T90" s="215"/>
      <c r="U90" s="197"/>
      <c r="V90" s="207"/>
      <c r="W90" s="189"/>
    </row>
    <row r="91" spans="1:23" s="23" customFormat="1" ht="13" customHeight="1" x14ac:dyDescent="0.15">
      <c r="A91" s="63"/>
      <c r="B91" s="65" t="s">
        <v>134</v>
      </c>
      <c r="C91" s="66"/>
      <c r="D91" s="67" t="s">
        <v>19</v>
      </c>
      <c r="E91" s="68">
        <v>1</v>
      </c>
      <c r="F91" s="67">
        <v>13.75</v>
      </c>
      <c r="G91" s="67">
        <v>0.19</v>
      </c>
      <c r="H91" s="67">
        <v>4</v>
      </c>
      <c r="I91" s="67">
        <f t="shared" si="8"/>
        <v>10.45</v>
      </c>
      <c r="J91" s="56"/>
      <c r="K91" s="17"/>
      <c r="L91" s="32"/>
      <c r="M91" s="11"/>
      <c r="N91" s="11"/>
      <c r="O91" s="107"/>
      <c r="P91" s="197"/>
      <c r="Q91" s="238"/>
      <c r="R91" s="436"/>
      <c r="S91" s="436"/>
      <c r="T91" s="215"/>
      <c r="U91" s="197"/>
      <c r="V91" s="207"/>
      <c r="W91" s="189"/>
    </row>
    <row r="92" spans="1:23" s="23" customFormat="1" ht="13" customHeight="1" x14ac:dyDescent="0.15">
      <c r="A92" s="63"/>
      <c r="B92" s="65" t="s">
        <v>135</v>
      </c>
      <c r="C92" s="66"/>
      <c r="D92" s="67" t="s">
        <v>18</v>
      </c>
      <c r="E92" s="68">
        <v>1</v>
      </c>
      <c r="F92" s="67">
        <v>1</v>
      </c>
      <c r="G92" s="67">
        <v>1</v>
      </c>
      <c r="H92" s="67">
        <v>1</v>
      </c>
      <c r="I92" s="67">
        <f t="shared" si="8"/>
        <v>1</v>
      </c>
      <c r="J92" s="56"/>
      <c r="K92" s="17"/>
      <c r="L92" s="32"/>
      <c r="M92" s="11"/>
      <c r="N92" s="11"/>
      <c r="O92" s="107"/>
      <c r="P92" s="197"/>
      <c r="Q92" s="238"/>
      <c r="R92" s="436"/>
      <c r="S92" s="436"/>
      <c r="T92" s="215"/>
      <c r="U92" s="197"/>
      <c r="V92" s="207"/>
      <c r="W92" s="189"/>
    </row>
    <row r="93" spans="1:23" s="23" customFormat="1" ht="13" customHeight="1" x14ac:dyDescent="0.15">
      <c r="A93" s="63"/>
      <c r="B93" s="65" t="s">
        <v>136</v>
      </c>
      <c r="C93" s="66"/>
      <c r="D93" s="67" t="s">
        <v>9</v>
      </c>
      <c r="E93" s="68">
        <v>1</v>
      </c>
      <c r="F93" s="67">
        <v>11.56</v>
      </c>
      <c r="G93" s="67">
        <v>14.1</v>
      </c>
      <c r="H93" s="67">
        <v>1</v>
      </c>
      <c r="I93" s="67">
        <f t="shared" si="8"/>
        <v>163</v>
      </c>
      <c r="J93" s="56"/>
      <c r="K93" s="17"/>
      <c r="L93" s="32"/>
      <c r="M93" s="11"/>
      <c r="N93" s="11"/>
      <c r="O93" s="107"/>
      <c r="P93" s="197"/>
      <c r="Q93" s="238"/>
      <c r="R93" s="436"/>
      <c r="S93" s="436"/>
      <c r="T93" s="215"/>
      <c r="U93" s="197"/>
      <c r="V93" s="207"/>
      <c r="W93" s="189"/>
    </row>
    <row r="94" spans="1:23" s="23" customFormat="1" ht="13" customHeight="1" x14ac:dyDescent="0.15">
      <c r="A94" s="63"/>
      <c r="B94" s="65" t="s">
        <v>140</v>
      </c>
      <c r="C94" s="66"/>
      <c r="D94" s="67" t="s">
        <v>18</v>
      </c>
      <c r="E94" s="68">
        <v>1</v>
      </c>
      <c r="F94" s="67">
        <v>1</v>
      </c>
      <c r="G94" s="67">
        <v>1</v>
      </c>
      <c r="H94" s="67">
        <v>1</v>
      </c>
      <c r="I94" s="67">
        <f>SUM(E94*F94*G94*H94)</f>
        <v>1</v>
      </c>
      <c r="J94" s="56"/>
      <c r="K94" s="17"/>
      <c r="L94" s="32"/>
      <c r="M94" s="11"/>
      <c r="N94" s="11"/>
      <c r="O94" s="107"/>
      <c r="P94" s="197"/>
      <c r="Q94" s="238"/>
      <c r="R94" s="436"/>
      <c r="S94" s="436"/>
      <c r="T94" s="215"/>
      <c r="U94" s="197"/>
      <c r="V94" s="207"/>
      <c r="W94" s="189"/>
    </row>
    <row r="95" spans="1:23" s="23" customFormat="1" ht="13" customHeight="1" x14ac:dyDescent="0.15">
      <c r="A95" s="63"/>
      <c r="B95" s="65" t="s">
        <v>137</v>
      </c>
      <c r="C95" s="66"/>
      <c r="D95" s="67" t="s">
        <v>9</v>
      </c>
      <c r="E95" s="68">
        <v>1</v>
      </c>
      <c r="F95" s="67">
        <v>36</v>
      </c>
      <c r="G95" s="67">
        <v>1</v>
      </c>
      <c r="H95" s="67">
        <v>1</v>
      </c>
      <c r="I95" s="67">
        <f t="shared" ref="I95:I100" si="9">SUM(E95*F95*G95*H95)</f>
        <v>36</v>
      </c>
      <c r="J95" s="56"/>
      <c r="K95" s="17"/>
      <c r="L95" s="32"/>
      <c r="M95" s="11"/>
      <c r="N95" s="11"/>
      <c r="O95" s="107"/>
      <c r="P95" s="197"/>
      <c r="Q95" s="238"/>
      <c r="R95" s="436"/>
      <c r="S95" s="436"/>
      <c r="T95" s="215"/>
      <c r="U95" s="197"/>
      <c r="V95" s="207"/>
      <c r="W95" s="189"/>
    </row>
    <row r="96" spans="1:23" s="23" customFormat="1" ht="13" customHeight="1" x14ac:dyDescent="0.15">
      <c r="A96" s="63"/>
      <c r="B96" s="65" t="s">
        <v>117</v>
      </c>
      <c r="C96" s="66"/>
      <c r="D96" s="67" t="s">
        <v>19</v>
      </c>
      <c r="E96" s="68">
        <v>1</v>
      </c>
      <c r="F96" s="67">
        <v>8.32</v>
      </c>
      <c r="G96" s="67">
        <v>0.3</v>
      </c>
      <c r="H96" s="67">
        <v>2</v>
      </c>
      <c r="I96" s="67">
        <f t="shared" si="9"/>
        <v>4.99</v>
      </c>
      <c r="J96" s="56"/>
      <c r="K96" s="17"/>
      <c r="L96" s="32"/>
      <c r="M96" s="11"/>
      <c r="N96" s="11"/>
      <c r="O96" s="107"/>
      <c r="P96" s="197"/>
      <c r="Q96" s="238"/>
      <c r="R96" s="436"/>
      <c r="S96" s="436"/>
      <c r="T96" s="215"/>
      <c r="U96" s="197"/>
      <c r="V96" s="207"/>
      <c r="W96" s="189"/>
    </row>
    <row r="97" spans="1:35" s="23" customFormat="1" ht="13" customHeight="1" x14ac:dyDescent="0.15">
      <c r="A97" s="63"/>
      <c r="B97" s="65" t="s">
        <v>118</v>
      </c>
      <c r="C97" s="66"/>
      <c r="D97" s="67" t="s">
        <v>19</v>
      </c>
      <c r="E97" s="68">
        <v>4</v>
      </c>
      <c r="F97" s="67">
        <v>2.0499999999999998</v>
      </c>
      <c r="G97" s="67">
        <v>0.34</v>
      </c>
      <c r="H97" s="67">
        <v>2.7</v>
      </c>
      <c r="I97" s="67">
        <f t="shared" si="9"/>
        <v>7.53</v>
      </c>
      <c r="J97" s="56"/>
      <c r="K97" s="17"/>
      <c r="L97" s="32"/>
      <c r="M97" s="11"/>
      <c r="N97" s="11"/>
      <c r="O97" s="107"/>
      <c r="P97" s="197"/>
      <c r="Q97" s="238"/>
      <c r="R97" s="436"/>
      <c r="S97" s="436"/>
      <c r="T97" s="215"/>
      <c r="U97" s="197"/>
      <c r="V97" s="207"/>
      <c r="W97" s="189"/>
    </row>
    <row r="98" spans="1:35" s="23" customFormat="1" ht="13" customHeight="1" x14ac:dyDescent="0.15">
      <c r="A98" s="63"/>
      <c r="B98" s="65" t="s">
        <v>138</v>
      </c>
      <c r="C98" s="66"/>
      <c r="D98" s="67" t="s">
        <v>9</v>
      </c>
      <c r="E98" s="68">
        <v>1</v>
      </c>
      <c r="F98" s="67">
        <v>27</v>
      </c>
      <c r="G98" s="67">
        <v>1</v>
      </c>
      <c r="H98" s="67">
        <v>1</v>
      </c>
      <c r="I98" s="67">
        <f>SUM(E98*F98*G98*H98)</f>
        <v>27</v>
      </c>
      <c r="J98" s="56"/>
      <c r="K98" s="17"/>
      <c r="L98" s="32"/>
      <c r="M98" s="11"/>
      <c r="N98" s="11"/>
      <c r="O98" s="107"/>
      <c r="P98" s="197"/>
      <c r="Q98" s="238"/>
      <c r="R98" s="436"/>
      <c r="S98" s="436"/>
      <c r="T98" s="215"/>
      <c r="U98" s="197"/>
      <c r="V98" s="207"/>
      <c r="W98" s="189"/>
    </row>
    <row r="99" spans="1:35" s="23" customFormat="1" ht="13" customHeight="1" x14ac:dyDescent="0.15">
      <c r="A99" s="63"/>
      <c r="B99" s="65" t="s">
        <v>103</v>
      </c>
      <c r="C99" s="66"/>
      <c r="D99" s="67" t="s">
        <v>18</v>
      </c>
      <c r="E99" s="68">
        <v>1</v>
      </c>
      <c r="F99" s="67">
        <v>1</v>
      </c>
      <c r="G99" s="67">
        <v>1</v>
      </c>
      <c r="H99" s="67">
        <v>1</v>
      </c>
      <c r="I99" s="67">
        <f t="shared" si="9"/>
        <v>1</v>
      </c>
      <c r="J99" s="56"/>
      <c r="K99" s="17"/>
      <c r="L99" s="32"/>
      <c r="M99" s="11"/>
      <c r="N99" s="11"/>
      <c r="O99" s="107"/>
      <c r="P99" s="197"/>
      <c r="Q99" s="238"/>
      <c r="R99" s="436"/>
      <c r="S99" s="436"/>
      <c r="T99" s="215"/>
      <c r="U99" s="197"/>
      <c r="V99" s="207"/>
      <c r="W99" s="189"/>
    </row>
    <row r="100" spans="1:35" s="23" customFormat="1" ht="24" x14ac:dyDescent="0.15">
      <c r="A100" s="63"/>
      <c r="B100" s="65" t="s">
        <v>119</v>
      </c>
      <c r="C100" s="66">
        <v>1</v>
      </c>
      <c r="D100" s="67" t="s">
        <v>9</v>
      </c>
      <c r="E100" s="68">
        <v>2</v>
      </c>
      <c r="F100" s="67">
        <v>2.2200000000000002</v>
      </c>
      <c r="G100" s="67">
        <v>1</v>
      </c>
      <c r="H100" s="67">
        <v>13.94</v>
      </c>
      <c r="I100" s="67">
        <f t="shared" si="9"/>
        <v>61.89</v>
      </c>
      <c r="J100" s="75">
        <f>+I100</f>
        <v>61.89</v>
      </c>
      <c r="K100" s="28">
        <v>7.65</v>
      </c>
      <c r="L100" s="73">
        <f>SUM(J100*K100)</f>
        <v>473.46</v>
      </c>
      <c r="M100" s="11"/>
      <c r="N100" s="11"/>
      <c r="O100" s="107" t="str">
        <f>+O78</f>
        <v>Supplément pour élimination de l'amiante en décharge agréée</v>
      </c>
      <c r="P100" s="196">
        <v>0.05</v>
      </c>
      <c r="Q100" s="238">
        <v>0.95</v>
      </c>
      <c r="R100" s="437"/>
      <c r="S100" s="437"/>
      <c r="T100" s="489"/>
      <c r="U100" s="196"/>
      <c r="V100" s="207">
        <f>SUM(P100:U100)</f>
        <v>1</v>
      </c>
      <c r="W100" s="212">
        <f>V100*L100</f>
        <v>473.46</v>
      </c>
    </row>
    <row r="101" spans="1:35" ht="13" customHeight="1" x14ac:dyDescent="0.15">
      <c r="A101" s="63"/>
      <c r="B101" s="65" t="s">
        <v>121</v>
      </c>
      <c r="C101" s="257"/>
      <c r="D101" s="74" t="s">
        <v>19</v>
      </c>
      <c r="E101" s="256">
        <v>1</v>
      </c>
      <c r="F101" s="74">
        <v>2.67</v>
      </c>
      <c r="G101" s="74">
        <v>0.35</v>
      </c>
      <c r="H101" s="74">
        <v>2.5</v>
      </c>
      <c r="I101" s="67">
        <f>SUM(E101*F101*G101*H101)</f>
        <v>2.34</v>
      </c>
      <c r="J101" s="56"/>
      <c r="P101" s="197"/>
      <c r="Q101" s="238"/>
      <c r="R101" s="436"/>
      <c r="S101" s="436"/>
      <c r="T101" s="215"/>
      <c r="U101" s="197"/>
      <c r="V101" s="207"/>
      <c r="W101" s="189"/>
    </row>
    <row r="102" spans="1:35" ht="13" customHeight="1" x14ac:dyDescent="0.15">
      <c r="A102" s="63"/>
      <c r="B102" s="65" t="s">
        <v>120</v>
      </c>
      <c r="C102" s="257"/>
      <c r="D102" s="74" t="s">
        <v>19</v>
      </c>
      <c r="E102" s="256">
        <v>1</v>
      </c>
      <c r="F102" s="74">
        <v>0.68</v>
      </c>
      <c r="G102" s="74">
        <v>0.68</v>
      </c>
      <c r="H102" s="74">
        <v>3</v>
      </c>
      <c r="I102" s="67">
        <f>SUM(E102*F102*G102*H102)</f>
        <v>1.39</v>
      </c>
      <c r="J102" s="56"/>
      <c r="P102" s="197"/>
      <c r="Q102" s="238"/>
      <c r="R102" s="436"/>
      <c r="S102" s="436"/>
      <c r="T102" s="215"/>
      <c r="U102" s="197"/>
      <c r="V102" s="207"/>
      <c r="W102" s="189"/>
    </row>
    <row r="103" spans="1:35" s="23" customFormat="1" ht="13" customHeight="1" x14ac:dyDescent="0.15">
      <c r="A103" s="63"/>
      <c r="B103" s="65" t="s">
        <v>166</v>
      </c>
      <c r="C103" s="66"/>
      <c r="D103" s="74" t="s">
        <v>18</v>
      </c>
      <c r="E103" s="256">
        <v>1</v>
      </c>
      <c r="F103" s="74">
        <v>1</v>
      </c>
      <c r="G103" s="74">
        <v>1</v>
      </c>
      <c r="H103" s="74">
        <v>1</v>
      </c>
      <c r="I103" s="67">
        <f>SUM(E103*F103*G103*H103)</f>
        <v>1</v>
      </c>
      <c r="J103" s="56"/>
      <c r="K103" s="17"/>
      <c r="L103" s="32"/>
      <c r="M103" s="11"/>
      <c r="N103" s="11"/>
      <c r="O103" s="107"/>
      <c r="P103" s="197"/>
      <c r="Q103" s="238"/>
      <c r="R103" s="436"/>
      <c r="S103" s="436"/>
      <c r="T103" s="215"/>
      <c r="U103" s="197"/>
      <c r="V103" s="207"/>
      <c r="W103" s="189"/>
    </row>
    <row r="104" spans="1:35" ht="13" x14ac:dyDescent="0.15">
      <c r="A104" s="63"/>
      <c r="B104" s="63"/>
      <c r="C104" s="70"/>
      <c r="D104" s="56"/>
      <c r="E104" s="64"/>
      <c r="F104" s="56"/>
      <c r="G104" s="56"/>
      <c r="H104" s="56"/>
      <c r="I104" s="56"/>
      <c r="J104" s="56"/>
      <c r="P104" s="197"/>
      <c r="Q104" s="238"/>
      <c r="R104" s="436"/>
      <c r="S104" s="436"/>
      <c r="T104" s="215"/>
      <c r="U104" s="197"/>
      <c r="V104" s="207"/>
      <c r="W104" s="189"/>
    </row>
    <row r="105" spans="1:35" s="23" customFormat="1" ht="13" x14ac:dyDescent="0.15">
      <c r="A105" s="65" t="s">
        <v>239</v>
      </c>
      <c r="B105" s="65" t="s">
        <v>270</v>
      </c>
      <c r="C105" s="66">
        <v>1</v>
      </c>
      <c r="D105" s="67" t="s">
        <v>489</v>
      </c>
      <c r="E105" s="68"/>
      <c r="F105" s="67"/>
      <c r="G105" s="67"/>
      <c r="H105" s="67"/>
      <c r="I105" s="67"/>
      <c r="J105" s="67">
        <f>SUM(I106:I108)</f>
        <v>9.98</v>
      </c>
      <c r="K105" s="28">
        <v>540</v>
      </c>
      <c r="L105" s="73">
        <f t="shared" ref="L105" si="10">SUM(J105*K105)</f>
        <v>5389.2</v>
      </c>
      <c r="M105" s="11"/>
      <c r="N105" s="11"/>
      <c r="O105" s="107"/>
      <c r="P105" s="197">
        <v>0.05</v>
      </c>
      <c r="Q105" s="238">
        <v>0.6</v>
      </c>
      <c r="R105" s="436"/>
      <c r="S105" s="436">
        <v>0.15</v>
      </c>
      <c r="T105" s="215">
        <v>0.2</v>
      </c>
      <c r="U105" s="197"/>
      <c r="V105" s="207">
        <f>SUM(P105:U105)</f>
        <v>1</v>
      </c>
      <c r="W105" s="212">
        <f>V105*L105</f>
        <v>5389.2</v>
      </c>
    </row>
    <row r="106" spans="1:35" s="23" customFormat="1" ht="13" customHeight="1" x14ac:dyDescent="0.15">
      <c r="A106" s="63"/>
      <c r="B106" s="65" t="s">
        <v>268</v>
      </c>
      <c r="C106" s="66"/>
      <c r="D106" s="67"/>
      <c r="E106" s="68">
        <v>1</v>
      </c>
      <c r="F106" s="67">
        <v>2.7</v>
      </c>
      <c r="G106" s="67">
        <v>0.44</v>
      </c>
      <c r="H106" s="67">
        <v>5.31</v>
      </c>
      <c r="I106" s="67">
        <f>SUM(E106*F106*G106*H106)</f>
        <v>6.31</v>
      </c>
      <c r="J106" s="56"/>
      <c r="K106" s="17"/>
      <c r="L106" s="32"/>
      <c r="M106" s="11"/>
      <c r="N106" s="11"/>
      <c r="O106" s="107"/>
      <c r="P106" s="197"/>
      <c r="Q106" s="238"/>
      <c r="R106" s="436"/>
      <c r="S106" s="436"/>
      <c r="T106" s="215"/>
      <c r="U106" s="197"/>
      <c r="V106" s="207"/>
      <c r="W106" s="189"/>
    </row>
    <row r="107" spans="1:35" s="23" customFormat="1" ht="13" customHeight="1" x14ac:dyDescent="0.15">
      <c r="A107" s="63"/>
      <c r="B107" s="65" t="s">
        <v>141</v>
      </c>
      <c r="C107" s="66"/>
      <c r="D107" s="67"/>
      <c r="E107" s="68">
        <v>1</v>
      </c>
      <c r="F107" s="67">
        <v>1.74</v>
      </c>
      <c r="G107" s="67">
        <v>0.44</v>
      </c>
      <c r="H107" s="67">
        <v>2.37</v>
      </c>
      <c r="I107" s="67">
        <f>SUM(E107*F107*G107*H107)</f>
        <v>1.81</v>
      </c>
      <c r="J107" s="56"/>
      <c r="K107" s="17"/>
      <c r="L107" s="32"/>
      <c r="M107" s="11"/>
      <c r="N107" s="287"/>
      <c r="O107" s="107"/>
      <c r="P107" s="197"/>
      <c r="Q107" s="238"/>
      <c r="R107" s="436"/>
      <c r="S107" s="436"/>
      <c r="T107" s="215"/>
      <c r="U107" s="197"/>
      <c r="V107" s="207"/>
      <c r="W107" s="189"/>
    </row>
    <row r="108" spans="1:35" s="21" customFormat="1" ht="13" x14ac:dyDescent="0.15">
      <c r="A108" s="63"/>
      <c r="B108" s="65" t="s">
        <v>269</v>
      </c>
      <c r="C108" s="66"/>
      <c r="D108" s="67"/>
      <c r="E108" s="68">
        <v>1</v>
      </c>
      <c r="F108" s="67">
        <v>4.6399999999999997</v>
      </c>
      <c r="G108" s="67">
        <v>0.5</v>
      </c>
      <c r="H108" s="67">
        <v>0.8</v>
      </c>
      <c r="I108" s="67">
        <f t="shared" ref="I108" si="11">SUM(E108*F108*G108*H108)</f>
        <v>1.86</v>
      </c>
      <c r="J108" s="56"/>
      <c r="K108" s="17"/>
      <c r="L108" s="32"/>
      <c r="M108" s="11"/>
      <c r="N108" s="39"/>
      <c r="O108" s="107"/>
      <c r="P108" s="197"/>
      <c r="Q108" s="238"/>
      <c r="R108" s="436"/>
      <c r="S108" s="436"/>
      <c r="T108" s="215"/>
      <c r="U108" s="197"/>
      <c r="V108" s="207"/>
      <c r="W108" s="189"/>
    </row>
    <row r="109" spans="1:35" s="23" customFormat="1" ht="13" x14ac:dyDescent="0.15">
      <c r="A109" s="65" t="s">
        <v>240</v>
      </c>
      <c r="B109" s="65" t="s">
        <v>275</v>
      </c>
      <c r="C109" s="66">
        <v>1</v>
      </c>
      <c r="D109" s="67" t="s">
        <v>51</v>
      </c>
      <c r="E109" s="68">
        <v>1</v>
      </c>
      <c r="F109" s="67">
        <v>7</v>
      </c>
      <c r="G109" s="67">
        <v>0.4</v>
      </c>
      <c r="H109" s="67">
        <v>0.4</v>
      </c>
      <c r="I109" s="67">
        <f>SUM(E109*F109*G109*H109)</f>
        <v>1.1200000000000001</v>
      </c>
      <c r="J109" s="67">
        <v>1</v>
      </c>
      <c r="K109" s="28">
        <v>567</v>
      </c>
      <c r="L109" s="73">
        <f t="shared" ref="L109:L110" si="12">SUM(J109*K109)</f>
        <v>567</v>
      </c>
      <c r="M109" s="11"/>
      <c r="N109" s="11"/>
      <c r="O109" s="107"/>
      <c r="P109" s="197">
        <v>0.05</v>
      </c>
      <c r="Q109" s="238">
        <v>0.95</v>
      </c>
      <c r="R109" s="436"/>
      <c r="S109" s="436"/>
      <c r="T109" s="215"/>
      <c r="U109" s="197"/>
      <c r="V109" s="207">
        <f t="shared" ref="V109:V110" si="13">SUM(P109:U109)</f>
        <v>1</v>
      </c>
      <c r="W109" s="212">
        <f t="shared" ref="W109:W110" si="14">V109*L109</f>
        <v>567</v>
      </c>
    </row>
    <row r="110" spans="1:35" s="23" customFormat="1" ht="13" x14ac:dyDescent="0.15">
      <c r="A110" s="65" t="s">
        <v>106</v>
      </c>
      <c r="B110" s="65" t="s">
        <v>274</v>
      </c>
      <c r="C110" s="66">
        <v>1</v>
      </c>
      <c r="D110" s="67" t="s">
        <v>19</v>
      </c>
      <c r="E110" s="68"/>
      <c r="F110" s="67"/>
      <c r="G110" s="67"/>
      <c r="H110" s="67"/>
      <c r="I110" s="67"/>
      <c r="J110" s="67">
        <f>SUM(I111:I114)</f>
        <v>23.33</v>
      </c>
      <c r="K110" s="28">
        <v>695</v>
      </c>
      <c r="L110" s="73">
        <f t="shared" si="12"/>
        <v>16214.35</v>
      </c>
      <c r="M110" s="11"/>
      <c r="N110" s="39"/>
      <c r="O110" s="107"/>
      <c r="P110" s="197">
        <v>0.05</v>
      </c>
      <c r="Q110" s="238">
        <v>0.55000000000000004</v>
      </c>
      <c r="R110" s="436">
        <v>0.4</v>
      </c>
      <c r="S110" s="436"/>
      <c r="T110" s="215"/>
      <c r="U110" s="197"/>
      <c r="V110" s="207">
        <f t="shared" si="13"/>
        <v>1</v>
      </c>
      <c r="W110" s="212">
        <f t="shared" si="14"/>
        <v>16214.35</v>
      </c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</row>
    <row r="111" spans="1:35" s="21" customFormat="1" ht="13" x14ac:dyDescent="0.15">
      <c r="A111" s="63"/>
      <c r="B111" s="65" t="s">
        <v>271</v>
      </c>
      <c r="C111" s="66"/>
      <c r="D111" s="67"/>
      <c r="E111" s="68">
        <v>1</v>
      </c>
      <c r="F111" s="67">
        <v>5.24</v>
      </c>
      <c r="G111" s="67">
        <v>2.93</v>
      </c>
      <c r="H111" s="67">
        <v>0.15</v>
      </c>
      <c r="I111" s="67">
        <f t="shared" ref="I111:I112" si="15">SUM(E111*F111*G111*H111)</f>
        <v>2.2999999999999998</v>
      </c>
      <c r="J111" s="56"/>
      <c r="K111" s="17"/>
      <c r="L111" s="32"/>
      <c r="M111" s="11"/>
      <c r="N111" s="39"/>
      <c r="O111" s="107"/>
      <c r="P111" s="197"/>
      <c r="Q111" s="238"/>
      <c r="R111" s="436"/>
      <c r="S111" s="436"/>
      <c r="T111" s="215"/>
      <c r="U111" s="197"/>
      <c r="V111" s="207"/>
      <c r="W111" s="189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</row>
    <row r="112" spans="1:35" s="21" customFormat="1" ht="13" x14ac:dyDescent="0.15">
      <c r="A112" s="63"/>
      <c r="B112" s="65" t="s">
        <v>272</v>
      </c>
      <c r="C112" s="66"/>
      <c r="D112" s="67"/>
      <c r="E112" s="68">
        <v>1</v>
      </c>
      <c r="F112" s="67">
        <v>5.24</v>
      </c>
      <c r="G112" s="67">
        <v>3.4</v>
      </c>
      <c r="H112" s="67">
        <v>0.33</v>
      </c>
      <c r="I112" s="67">
        <f t="shared" si="15"/>
        <v>5.88</v>
      </c>
      <c r="J112" s="56"/>
      <c r="K112" s="17"/>
      <c r="L112" s="32"/>
      <c r="M112" s="11"/>
      <c r="N112" s="39"/>
      <c r="O112" s="107"/>
      <c r="P112" s="197"/>
      <c r="Q112" s="238"/>
      <c r="R112" s="436"/>
      <c r="S112" s="436"/>
      <c r="T112" s="215"/>
      <c r="U112" s="197"/>
      <c r="V112" s="207"/>
      <c r="W112" s="189"/>
    </row>
    <row r="113" spans="1:35" s="23" customFormat="1" ht="13" x14ac:dyDescent="0.15">
      <c r="A113" s="63"/>
      <c r="B113" s="65" t="s">
        <v>150</v>
      </c>
      <c r="C113" s="66"/>
      <c r="D113" s="67"/>
      <c r="E113" s="68">
        <v>1</v>
      </c>
      <c r="F113" s="67">
        <v>11.65</v>
      </c>
      <c r="G113" s="67">
        <v>3.86</v>
      </c>
      <c r="H113" s="67">
        <v>0.2</v>
      </c>
      <c r="I113" s="67">
        <f>SUM(E113*F113*G113*H113)</f>
        <v>8.99</v>
      </c>
      <c r="J113" s="56"/>
      <c r="K113" s="17"/>
      <c r="L113" s="32"/>
      <c r="M113" s="24"/>
      <c r="N113" s="11"/>
      <c r="O113" s="107"/>
      <c r="P113" s="197"/>
      <c r="Q113" s="238"/>
      <c r="R113" s="436"/>
      <c r="S113" s="436"/>
      <c r="T113" s="215"/>
      <c r="U113" s="197"/>
      <c r="V113" s="207"/>
      <c r="W113" s="189"/>
    </row>
    <row r="114" spans="1:35" s="23" customFormat="1" ht="13" x14ac:dyDescent="0.15">
      <c r="A114" s="63"/>
      <c r="B114" s="65" t="s">
        <v>150</v>
      </c>
      <c r="C114" s="66"/>
      <c r="D114" s="67"/>
      <c r="E114" s="68">
        <v>1</v>
      </c>
      <c r="F114" s="67">
        <v>11.4</v>
      </c>
      <c r="G114" s="67">
        <v>1.8</v>
      </c>
      <c r="H114" s="67">
        <v>0.3</v>
      </c>
      <c r="I114" s="67">
        <f>SUM(E114*F114*G114*H114)</f>
        <v>6.16</v>
      </c>
      <c r="J114" s="56"/>
      <c r="K114" s="17"/>
      <c r="L114" s="32"/>
      <c r="M114" s="24"/>
      <c r="N114" s="11"/>
      <c r="O114" s="107"/>
      <c r="P114" s="197"/>
      <c r="Q114" s="238"/>
      <c r="R114" s="436"/>
      <c r="S114" s="436"/>
      <c r="T114" s="215"/>
      <c r="U114" s="197"/>
      <c r="V114" s="207"/>
      <c r="W114" s="189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</row>
    <row r="115" spans="1:35" s="23" customFormat="1" ht="12" customHeight="1" x14ac:dyDescent="0.15">
      <c r="A115" s="65" t="s">
        <v>107</v>
      </c>
      <c r="B115" s="65" t="s">
        <v>217</v>
      </c>
      <c r="C115" s="66" t="s">
        <v>291</v>
      </c>
      <c r="D115" s="67" t="s">
        <v>18</v>
      </c>
      <c r="E115" s="68">
        <v>1</v>
      </c>
      <c r="F115" s="67">
        <v>4.2</v>
      </c>
      <c r="G115" s="67">
        <v>1</v>
      </c>
      <c r="H115" s="67">
        <v>4.54</v>
      </c>
      <c r="I115" s="67">
        <f>SUM(E115*F115*G115*H115)</f>
        <v>19.07</v>
      </c>
      <c r="J115" s="67">
        <f>SUM(E115)</f>
        <v>1</v>
      </c>
      <c r="K115" s="28">
        <v>804.09</v>
      </c>
      <c r="L115" s="451">
        <f>SUM(J115*K115)</f>
        <v>804.09</v>
      </c>
      <c r="M115" s="24"/>
      <c r="N115" s="272" t="s">
        <v>207</v>
      </c>
      <c r="O115" s="107"/>
      <c r="P115" s="238"/>
      <c r="Q115" s="238">
        <v>1</v>
      </c>
      <c r="R115" s="436"/>
      <c r="S115" s="436"/>
      <c r="T115" s="435"/>
      <c r="U115" s="238"/>
      <c r="V115" s="207">
        <f>SUM(P115:U115)</f>
        <v>1</v>
      </c>
      <c r="W115" s="237">
        <f>V115*L115</f>
        <v>804.09</v>
      </c>
      <c r="X115" s="459" t="s">
        <v>522</v>
      </c>
    </row>
    <row r="116" spans="1:35" s="23" customFormat="1" ht="13" x14ac:dyDescent="0.15">
      <c r="A116" s="65" t="s">
        <v>108</v>
      </c>
      <c r="B116" s="65" t="s">
        <v>241</v>
      </c>
      <c r="C116" s="66">
        <v>1</v>
      </c>
      <c r="D116" s="67" t="s">
        <v>9</v>
      </c>
      <c r="E116" s="68">
        <v>1</v>
      </c>
      <c r="F116" s="67">
        <v>1</v>
      </c>
      <c r="G116" s="67">
        <v>1</v>
      </c>
      <c r="H116" s="67">
        <v>1</v>
      </c>
      <c r="I116" s="67">
        <v>65</v>
      </c>
      <c r="J116" s="67">
        <f>+I116</f>
        <v>65</v>
      </c>
      <c r="K116" s="28">
        <v>75</v>
      </c>
      <c r="L116" s="73">
        <f>SUM(J116*K116)</f>
        <v>4875</v>
      </c>
      <c r="M116" s="11"/>
      <c r="N116" s="39"/>
      <c r="O116" s="107"/>
      <c r="P116" s="197">
        <v>0.05</v>
      </c>
      <c r="Q116" s="238">
        <v>0.7</v>
      </c>
      <c r="R116" s="436">
        <v>0.1</v>
      </c>
      <c r="S116" s="436">
        <v>0.15</v>
      </c>
      <c r="T116" s="215"/>
      <c r="U116" s="197"/>
      <c r="V116" s="207">
        <f>SUM(P116:U116)</f>
        <v>1</v>
      </c>
      <c r="W116" s="212">
        <f>V116*L116</f>
        <v>4875</v>
      </c>
    </row>
    <row r="117" spans="1:35" s="21" customFormat="1" ht="13" x14ac:dyDescent="0.15">
      <c r="A117" s="63"/>
      <c r="B117" s="63"/>
      <c r="C117" s="70"/>
      <c r="D117" s="56"/>
      <c r="E117" s="64"/>
      <c r="F117" s="56"/>
      <c r="G117" s="56"/>
      <c r="H117" s="56"/>
      <c r="I117" s="56"/>
      <c r="J117" s="56"/>
      <c r="K117" s="17"/>
      <c r="L117" s="32"/>
      <c r="M117" s="11"/>
      <c r="N117" s="11"/>
      <c r="O117" s="107"/>
      <c r="P117" s="197"/>
      <c r="Q117" s="238"/>
      <c r="R117" s="436"/>
      <c r="S117" s="436"/>
      <c r="T117" s="215"/>
      <c r="U117" s="197"/>
      <c r="V117" s="207"/>
      <c r="W117" s="189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</row>
    <row r="118" spans="1:35" s="21" customFormat="1" ht="13" x14ac:dyDescent="0.15">
      <c r="A118" s="57" t="s">
        <v>261</v>
      </c>
      <c r="B118" s="58" t="s">
        <v>14</v>
      </c>
      <c r="C118" s="71"/>
      <c r="D118" s="61"/>
      <c r="E118" s="72"/>
      <c r="F118" s="61"/>
      <c r="G118" s="61"/>
      <c r="H118" s="61"/>
      <c r="I118" s="61"/>
      <c r="J118" s="61"/>
      <c r="K118" s="20"/>
      <c r="L118" s="62"/>
      <c r="M118" s="11"/>
      <c r="N118" s="39"/>
      <c r="O118" s="107"/>
      <c r="P118" s="197"/>
      <c r="Q118" s="238"/>
      <c r="R118" s="436"/>
      <c r="S118" s="436"/>
      <c r="T118" s="215"/>
      <c r="U118" s="197"/>
      <c r="V118" s="207"/>
      <c r="W118" s="189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</row>
    <row r="119" spans="1:35" ht="5" customHeight="1" x14ac:dyDescent="0.15">
      <c r="A119" s="63"/>
      <c r="B119" s="63"/>
      <c r="C119" s="70"/>
      <c r="D119" s="56"/>
      <c r="E119" s="64"/>
      <c r="F119" s="56"/>
      <c r="G119" s="56"/>
      <c r="H119" s="56"/>
      <c r="I119" s="56"/>
      <c r="J119" s="56"/>
      <c r="P119" s="197"/>
      <c r="Q119" s="238"/>
      <c r="R119" s="436"/>
      <c r="S119" s="436"/>
      <c r="T119" s="215"/>
      <c r="U119" s="197"/>
      <c r="V119" s="207"/>
      <c r="W119" s="189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</row>
    <row r="120" spans="1:35" s="23" customFormat="1" ht="13" x14ac:dyDescent="0.15">
      <c r="A120" s="65" t="s">
        <v>262</v>
      </c>
      <c r="B120" s="65" t="s">
        <v>276</v>
      </c>
      <c r="C120" s="66">
        <v>1</v>
      </c>
      <c r="D120" s="67" t="s">
        <v>19</v>
      </c>
      <c r="E120" s="68"/>
      <c r="F120" s="67"/>
      <c r="G120" s="67"/>
      <c r="H120" s="67"/>
      <c r="I120" s="67"/>
      <c r="J120" s="67">
        <f>SUM(I121:I123)</f>
        <v>59.24</v>
      </c>
      <c r="K120" s="28">
        <v>120.75</v>
      </c>
      <c r="L120" s="73">
        <f>SUM(J120*K120)</f>
        <v>7153.23</v>
      </c>
      <c r="M120" s="24"/>
      <c r="N120" s="11"/>
      <c r="O120" s="107"/>
      <c r="P120" s="197">
        <v>0.05</v>
      </c>
      <c r="Q120" s="238"/>
      <c r="R120" s="436">
        <v>0.85</v>
      </c>
      <c r="S120" s="436"/>
      <c r="T120" s="215">
        <v>0.1</v>
      </c>
      <c r="U120" s="197"/>
      <c r="V120" s="207">
        <f>SUM(P120:U120)</f>
        <v>1</v>
      </c>
      <c r="W120" s="212">
        <f>V120*L120</f>
        <v>7153.23</v>
      </c>
    </row>
    <row r="121" spans="1:35" s="23" customFormat="1" ht="13" x14ac:dyDescent="0.15">
      <c r="A121" s="63"/>
      <c r="B121" s="65" t="s">
        <v>149</v>
      </c>
      <c r="C121" s="66"/>
      <c r="D121" s="67"/>
      <c r="E121" s="68">
        <v>1</v>
      </c>
      <c r="F121" s="67">
        <v>152</v>
      </c>
      <c r="G121" s="67">
        <v>1</v>
      </c>
      <c r="H121" s="67">
        <v>0.37</v>
      </c>
      <c r="I121" s="67">
        <f>SUM(E121*F121*G121*H121)</f>
        <v>56.24</v>
      </c>
      <c r="J121" s="56"/>
      <c r="K121" s="17"/>
      <c r="L121" s="32"/>
      <c r="M121" s="11"/>
      <c r="N121" s="11"/>
      <c r="O121" s="107"/>
      <c r="P121" s="197"/>
      <c r="Q121" s="238"/>
      <c r="R121" s="436"/>
      <c r="S121" s="436"/>
      <c r="T121" s="215"/>
      <c r="U121" s="197"/>
      <c r="V121" s="207"/>
      <c r="W121" s="189"/>
    </row>
    <row r="122" spans="1:35" s="23" customFormat="1" ht="13" x14ac:dyDescent="0.15">
      <c r="A122" s="63"/>
      <c r="B122" s="65" t="s">
        <v>243</v>
      </c>
      <c r="C122" s="66"/>
      <c r="D122" s="67"/>
      <c r="E122" s="68"/>
      <c r="F122" s="67"/>
      <c r="G122" s="67"/>
      <c r="H122" s="67"/>
      <c r="I122" s="67"/>
      <c r="J122" s="56"/>
      <c r="K122" s="17"/>
      <c r="L122" s="32"/>
      <c r="M122" s="11"/>
      <c r="N122" s="11"/>
      <c r="O122" s="107"/>
      <c r="P122" s="197"/>
      <c r="Q122" s="238"/>
      <c r="R122" s="436"/>
      <c r="S122" s="436"/>
      <c r="T122" s="215"/>
      <c r="U122" s="197"/>
      <c r="V122" s="207"/>
      <c r="W122" s="189"/>
    </row>
    <row r="123" spans="1:35" s="23" customFormat="1" ht="13" x14ac:dyDescent="0.15">
      <c r="A123" s="63"/>
      <c r="B123" s="65" t="s">
        <v>244</v>
      </c>
      <c r="C123" s="66"/>
      <c r="D123" s="67"/>
      <c r="E123" s="68">
        <v>1</v>
      </c>
      <c r="F123" s="67">
        <v>15</v>
      </c>
      <c r="G123" s="67">
        <v>1</v>
      </c>
      <c r="H123" s="67">
        <v>0.2</v>
      </c>
      <c r="I123" s="67">
        <f>SUM(E123*F123*G123*H123)</f>
        <v>3</v>
      </c>
      <c r="J123" s="56"/>
      <c r="K123" s="17"/>
      <c r="L123" s="32"/>
      <c r="M123" s="11"/>
      <c r="N123" s="11"/>
      <c r="O123" s="107"/>
      <c r="P123" s="197"/>
      <c r="Q123" s="238"/>
      <c r="R123" s="436"/>
      <c r="S123" s="436"/>
      <c r="T123" s="215"/>
      <c r="U123" s="197"/>
      <c r="V123" s="207"/>
      <c r="W123" s="189"/>
    </row>
    <row r="124" spans="1:35" s="23" customFormat="1" ht="13" x14ac:dyDescent="0.15">
      <c r="A124" s="63"/>
      <c r="B124" s="65" t="s">
        <v>245</v>
      </c>
      <c r="C124" s="66"/>
      <c r="D124" s="67"/>
      <c r="E124" s="68"/>
      <c r="F124" s="67"/>
      <c r="G124" s="67"/>
      <c r="H124" s="67"/>
      <c r="I124" s="67"/>
      <c r="J124" s="56"/>
      <c r="K124" s="17"/>
      <c r="L124" s="32"/>
      <c r="M124" s="11"/>
      <c r="N124" s="11"/>
      <c r="O124" s="107"/>
      <c r="P124" s="197"/>
      <c r="Q124" s="238"/>
      <c r="R124" s="436"/>
      <c r="S124" s="436"/>
      <c r="T124" s="215"/>
      <c r="U124" s="197"/>
      <c r="V124" s="207"/>
      <c r="W124" s="189"/>
    </row>
    <row r="125" spans="1:35" s="23" customFormat="1" ht="13" x14ac:dyDescent="0.15">
      <c r="A125" s="65" t="s">
        <v>263</v>
      </c>
      <c r="B125" s="65" t="s">
        <v>277</v>
      </c>
      <c r="C125" s="66">
        <v>1</v>
      </c>
      <c r="D125" s="67" t="s">
        <v>19</v>
      </c>
      <c r="E125" s="68"/>
      <c r="F125" s="67"/>
      <c r="G125" s="67"/>
      <c r="H125" s="67"/>
      <c r="I125" s="67"/>
      <c r="J125" s="67">
        <f>SUM(I126:I133)</f>
        <v>9.52</v>
      </c>
      <c r="K125" s="28">
        <v>120.75</v>
      </c>
      <c r="L125" s="73">
        <f>SUM(J125*K125)</f>
        <v>1149.54</v>
      </c>
      <c r="M125" s="24"/>
      <c r="N125" s="11"/>
      <c r="O125" s="107"/>
      <c r="P125" s="197">
        <v>0.05</v>
      </c>
      <c r="Q125" s="238">
        <v>0.15</v>
      </c>
      <c r="R125" s="436">
        <v>0.6</v>
      </c>
      <c r="S125" s="436"/>
      <c r="T125" s="215">
        <v>0.2</v>
      </c>
      <c r="U125" s="197"/>
      <c r="V125" s="207">
        <f>SUM(P125:U125)</f>
        <v>1</v>
      </c>
      <c r="W125" s="212">
        <f>V125*L125</f>
        <v>1149.54</v>
      </c>
    </row>
    <row r="126" spans="1:35" s="23" customFormat="1" ht="13" x14ac:dyDescent="0.15">
      <c r="A126" s="63"/>
      <c r="B126" s="65" t="s">
        <v>247</v>
      </c>
      <c r="C126" s="66"/>
      <c r="D126" s="67"/>
      <c r="E126" s="68">
        <v>1</v>
      </c>
      <c r="F126" s="67">
        <v>13.3</v>
      </c>
      <c r="G126" s="67">
        <v>0.5</v>
      </c>
      <c r="H126" s="67">
        <v>0.15</v>
      </c>
      <c r="I126" s="67">
        <f t="shared" ref="I126:I131" si="16">SUM(E126*F126*G126*H126)</f>
        <v>1</v>
      </c>
      <c r="J126" s="56"/>
      <c r="K126" s="17"/>
      <c r="L126" s="32"/>
      <c r="M126" s="11"/>
      <c r="N126" s="11"/>
      <c r="O126" s="107"/>
      <c r="P126" s="197"/>
      <c r="Q126" s="238"/>
      <c r="R126" s="436"/>
      <c r="S126" s="436"/>
      <c r="T126" s="215"/>
      <c r="U126" s="197"/>
      <c r="V126" s="207"/>
      <c r="W126" s="189"/>
    </row>
    <row r="127" spans="1:35" s="23" customFormat="1" ht="13" x14ac:dyDescent="0.15">
      <c r="A127" s="63"/>
      <c r="B127" s="65" t="s">
        <v>248</v>
      </c>
      <c r="C127" s="66"/>
      <c r="D127" s="67"/>
      <c r="E127" s="68">
        <v>1</v>
      </c>
      <c r="F127" s="67">
        <v>2</v>
      </c>
      <c r="G127" s="67">
        <v>1.5</v>
      </c>
      <c r="H127" s="67">
        <v>0.1</v>
      </c>
      <c r="I127" s="67">
        <f t="shared" si="16"/>
        <v>0.3</v>
      </c>
      <c r="J127" s="56"/>
      <c r="K127" s="17"/>
      <c r="L127" s="32"/>
      <c r="M127" s="11"/>
      <c r="N127" s="11"/>
      <c r="O127" s="107"/>
      <c r="P127" s="197"/>
      <c r="Q127" s="238"/>
      <c r="R127" s="436"/>
      <c r="S127" s="436"/>
      <c r="T127" s="215"/>
      <c r="U127" s="197"/>
      <c r="V127" s="207"/>
      <c r="W127" s="189"/>
    </row>
    <row r="128" spans="1:35" s="23" customFormat="1" ht="13" x14ac:dyDescent="0.15">
      <c r="A128" s="63"/>
      <c r="B128" s="65" t="s">
        <v>249</v>
      </c>
      <c r="C128" s="66"/>
      <c r="D128" s="67"/>
      <c r="E128" s="68">
        <v>1</v>
      </c>
      <c r="F128" s="67">
        <v>1.5</v>
      </c>
      <c r="G128" s="67">
        <v>0.5</v>
      </c>
      <c r="H128" s="67">
        <v>0.55000000000000004</v>
      </c>
      <c r="I128" s="67">
        <f t="shared" si="16"/>
        <v>0.41</v>
      </c>
      <c r="J128" s="56"/>
      <c r="K128" s="17"/>
      <c r="L128" s="32"/>
      <c r="M128" s="11"/>
      <c r="N128" s="11"/>
      <c r="O128" s="107"/>
      <c r="P128" s="197"/>
      <c r="Q128" s="238"/>
      <c r="R128" s="436"/>
      <c r="S128" s="436"/>
      <c r="T128" s="215"/>
      <c r="U128" s="197"/>
      <c r="V128" s="207"/>
      <c r="W128" s="189"/>
    </row>
    <row r="129" spans="1:23" s="23" customFormat="1" ht="13" x14ac:dyDescent="0.15">
      <c r="A129" s="63"/>
      <c r="B129" s="65" t="s">
        <v>250</v>
      </c>
      <c r="C129" s="66"/>
      <c r="D129" s="67"/>
      <c r="E129" s="68">
        <v>1</v>
      </c>
      <c r="F129" s="67">
        <v>3</v>
      </c>
      <c r="G129" s="67">
        <v>3.5</v>
      </c>
      <c r="H129" s="67">
        <v>0.1</v>
      </c>
      <c r="I129" s="67">
        <f t="shared" si="16"/>
        <v>1.05</v>
      </c>
      <c r="J129" s="56"/>
      <c r="K129" s="17"/>
      <c r="L129" s="32"/>
      <c r="M129" s="11"/>
      <c r="N129" s="11"/>
      <c r="O129" s="107"/>
      <c r="P129" s="197"/>
      <c r="Q129" s="238"/>
      <c r="R129" s="436"/>
      <c r="S129" s="436"/>
      <c r="T129" s="215"/>
      <c r="U129" s="197"/>
      <c r="V129" s="207"/>
      <c r="W129" s="189"/>
    </row>
    <row r="130" spans="1:23" s="23" customFormat="1" ht="13" x14ac:dyDescent="0.15">
      <c r="A130" s="63"/>
      <c r="B130" s="65" t="s">
        <v>279</v>
      </c>
      <c r="C130" s="66"/>
      <c r="D130" s="67"/>
      <c r="E130" s="68">
        <v>2</v>
      </c>
      <c r="F130" s="67">
        <v>5.7</v>
      </c>
      <c r="G130" s="67">
        <v>0.3</v>
      </c>
      <c r="H130" s="67">
        <v>0.55000000000000004</v>
      </c>
      <c r="I130" s="67">
        <f t="shared" si="16"/>
        <v>1.88</v>
      </c>
      <c r="J130" s="56"/>
      <c r="K130" s="17"/>
      <c r="L130" s="32"/>
      <c r="M130" s="11"/>
      <c r="N130" s="11"/>
      <c r="O130" s="107"/>
      <c r="P130" s="197"/>
      <c r="Q130" s="238"/>
      <c r="R130" s="436"/>
      <c r="S130" s="436"/>
      <c r="T130" s="215"/>
      <c r="U130" s="197"/>
      <c r="V130" s="207"/>
      <c r="W130" s="189"/>
    </row>
    <row r="131" spans="1:23" s="23" customFormat="1" ht="13" x14ac:dyDescent="0.15">
      <c r="A131" s="63"/>
      <c r="B131" s="65" t="s">
        <v>278</v>
      </c>
      <c r="C131" s="66"/>
      <c r="D131" s="67"/>
      <c r="E131" s="68">
        <v>2</v>
      </c>
      <c r="F131" s="67">
        <v>7.26</v>
      </c>
      <c r="G131" s="67">
        <v>0.3</v>
      </c>
      <c r="H131" s="67">
        <v>0.65</v>
      </c>
      <c r="I131" s="67">
        <f t="shared" si="16"/>
        <v>2.83</v>
      </c>
      <c r="J131" s="56"/>
      <c r="K131" s="17"/>
      <c r="L131" s="32"/>
      <c r="M131" s="11"/>
      <c r="N131" s="11"/>
      <c r="O131" s="107"/>
      <c r="P131" s="197"/>
      <c r="Q131" s="238"/>
      <c r="R131" s="436"/>
      <c r="S131" s="436"/>
      <c r="T131" s="215"/>
      <c r="U131" s="197"/>
      <c r="V131" s="207"/>
      <c r="W131" s="189"/>
    </row>
    <row r="132" spans="1:23" s="23" customFormat="1" ht="13" x14ac:dyDescent="0.15">
      <c r="A132" s="63"/>
      <c r="B132" s="65" t="s">
        <v>238</v>
      </c>
      <c r="C132" s="66"/>
      <c r="D132" s="67"/>
      <c r="E132" s="68"/>
      <c r="F132" s="67"/>
      <c r="G132" s="67"/>
      <c r="H132" s="67"/>
      <c r="I132" s="67"/>
      <c r="J132" s="56"/>
      <c r="K132" s="17"/>
      <c r="L132" s="32"/>
      <c r="M132" s="11"/>
      <c r="N132" s="11"/>
      <c r="O132" s="107"/>
      <c r="P132" s="197"/>
      <c r="Q132" s="238"/>
      <c r="R132" s="436"/>
      <c r="S132" s="436"/>
      <c r="T132" s="215"/>
      <c r="U132" s="197"/>
      <c r="V132" s="207"/>
      <c r="W132" s="189"/>
    </row>
    <row r="133" spans="1:23" s="23" customFormat="1" ht="13" x14ac:dyDescent="0.15">
      <c r="A133" s="63"/>
      <c r="B133" s="65" t="s">
        <v>251</v>
      </c>
      <c r="C133" s="66"/>
      <c r="D133" s="67"/>
      <c r="E133" s="68">
        <v>1</v>
      </c>
      <c r="F133" s="67">
        <v>10.25</v>
      </c>
      <c r="G133" s="67">
        <v>0.4</v>
      </c>
      <c r="H133" s="67">
        <v>0.5</v>
      </c>
      <c r="I133" s="67">
        <f t="shared" ref="I133" si="17">SUM(E133*F133*G133*H133)</f>
        <v>2.0499999999999998</v>
      </c>
      <c r="J133" s="56"/>
      <c r="K133" s="17"/>
      <c r="L133" s="32"/>
      <c r="M133" s="11"/>
      <c r="N133" s="11"/>
      <c r="O133" s="107"/>
      <c r="P133" s="197"/>
      <c r="Q133" s="238"/>
      <c r="R133" s="436"/>
      <c r="S133" s="436"/>
      <c r="T133" s="215"/>
      <c r="U133" s="197"/>
      <c r="V133" s="207"/>
      <c r="W133" s="189"/>
    </row>
    <row r="134" spans="1:23" s="23" customFormat="1" ht="13" x14ac:dyDescent="0.15">
      <c r="A134" s="63"/>
      <c r="B134" s="458" t="s">
        <v>523</v>
      </c>
      <c r="C134" s="447"/>
      <c r="D134" s="448"/>
      <c r="E134" s="448">
        <v>1</v>
      </c>
      <c r="F134" s="448">
        <v>5.66</v>
      </c>
      <c r="G134" s="448">
        <v>0.7</v>
      </c>
      <c r="H134" s="447">
        <v>1</v>
      </c>
      <c r="I134" s="448">
        <f>H134*G134*F134*E134</f>
        <v>3.96</v>
      </c>
      <c r="J134" s="452">
        <f>+I134</f>
        <v>3.96</v>
      </c>
      <c r="K134" s="450">
        <v>120.75</v>
      </c>
      <c r="L134" s="451">
        <f t="shared" ref="L134:L136" si="18">SUM(J134*K134)</f>
        <v>478.17</v>
      </c>
      <c r="M134" s="11"/>
      <c r="N134" s="11"/>
      <c r="O134" s="107"/>
      <c r="P134" s="197"/>
      <c r="Q134" s="238">
        <v>1</v>
      </c>
      <c r="R134" s="436"/>
      <c r="S134" s="436"/>
      <c r="T134" s="215"/>
      <c r="U134" s="197"/>
      <c r="V134" s="207">
        <f t="shared" ref="V134:V136" si="19">SUM(P134:U134)</f>
        <v>1</v>
      </c>
      <c r="W134" s="212">
        <f t="shared" ref="W134:W136" si="20">V134*L134</f>
        <v>478.17</v>
      </c>
    </row>
    <row r="135" spans="1:23" s="23" customFormat="1" ht="13" x14ac:dyDescent="0.15">
      <c r="A135" s="63"/>
      <c r="B135" s="458" t="s">
        <v>524</v>
      </c>
      <c r="C135" s="447"/>
      <c r="D135" s="448"/>
      <c r="E135" s="448">
        <v>1</v>
      </c>
      <c r="F135" s="448">
        <v>5.66</v>
      </c>
      <c r="G135" s="448">
        <v>0.3</v>
      </c>
      <c r="H135" s="447">
        <v>1</v>
      </c>
      <c r="I135" s="448">
        <f>H135*G135*F135*E135</f>
        <v>1.7</v>
      </c>
      <c r="J135" s="452">
        <f t="shared" ref="J135:J136" si="21">+I135</f>
        <v>1.7</v>
      </c>
      <c r="K135" s="450">
        <v>120.75</v>
      </c>
      <c r="L135" s="451">
        <f t="shared" si="18"/>
        <v>205.28</v>
      </c>
      <c r="M135" s="11"/>
      <c r="N135" s="11"/>
      <c r="O135" s="107"/>
      <c r="P135" s="197"/>
      <c r="Q135" s="238">
        <v>1</v>
      </c>
      <c r="R135" s="436"/>
      <c r="S135" s="436"/>
      <c r="T135" s="215"/>
      <c r="U135" s="197"/>
      <c r="V135" s="207">
        <f t="shared" si="19"/>
        <v>1</v>
      </c>
      <c r="W135" s="212">
        <f t="shared" si="20"/>
        <v>205.28</v>
      </c>
    </row>
    <row r="136" spans="1:23" s="23" customFormat="1" ht="13" x14ac:dyDescent="0.15">
      <c r="A136" s="63"/>
      <c r="B136" s="458" t="s">
        <v>525</v>
      </c>
      <c r="C136" s="447"/>
      <c r="D136" s="448"/>
      <c r="E136" s="448">
        <v>1</v>
      </c>
      <c r="F136" s="448">
        <v>4.22</v>
      </c>
      <c r="G136" s="448">
        <v>0.3</v>
      </c>
      <c r="H136" s="447">
        <v>1</v>
      </c>
      <c r="I136" s="448">
        <f>H136*G136*F136*E136</f>
        <v>1.27</v>
      </c>
      <c r="J136" s="452">
        <f t="shared" si="21"/>
        <v>1.27</v>
      </c>
      <c r="K136" s="450">
        <v>120.75</v>
      </c>
      <c r="L136" s="451">
        <f t="shared" si="18"/>
        <v>153.35</v>
      </c>
      <c r="M136" s="11"/>
      <c r="N136" s="11"/>
      <c r="O136" s="107"/>
      <c r="P136" s="197"/>
      <c r="Q136" s="238">
        <v>1</v>
      </c>
      <c r="R136" s="436"/>
      <c r="S136" s="436"/>
      <c r="T136" s="215"/>
      <c r="U136" s="197"/>
      <c r="V136" s="207">
        <f t="shared" si="19"/>
        <v>1</v>
      </c>
      <c r="W136" s="212">
        <f t="shared" si="20"/>
        <v>153.35</v>
      </c>
    </row>
    <row r="137" spans="1:23" s="23" customFormat="1" ht="13" x14ac:dyDescent="0.15">
      <c r="A137" s="65" t="s">
        <v>292</v>
      </c>
      <c r="B137" s="65" t="s">
        <v>293</v>
      </c>
      <c r="C137" s="66">
        <v>1</v>
      </c>
      <c r="D137" s="67" t="s">
        <v>51</v>
      </c>
      <c r="E137" s="68"/>
      <c r="F137" s="67"/>
      <c r="G137" s="67"/>
      <c r="H137" s="67"/>
      <c r="I137" s="67"/>
      <c r="J137" s="67">
        <v>10</v>
      </c>
      <c r="K137" s="28"/>
      <c r="L137" s="73"/>
      <c r="M137" s="11"/>
      <c r="N137" s="35">
        <v>0</v>
      </c>
      <c r="O137" s="107" t="s">
        <v>295</v>
      </c>
      <c r="P137" s="197"/>
      <c r="Q137" s="238"/>
      <c r="R137" s="436"/>
      <c r="S137" s="436"/>
      <c r="T137" s="215"/>
      <c r="U137" s="197"/>
      <c r="V137" s="207"/>
      <c r="W137" s="189"/>
    </row>
    <row r="138" spans="1:23" ht="13" x14ac:dyDescent="0.15">
      <c r="A138" s="63"/>
      <c r="B138" s="63"/>
      <c r="C138" s="70"/>
      <c r="D138" s="56"/>
      <c r="E138" s="64"/>
      <c r="F138" s="56"/>
      <c r="G138" s="56"/>
      <c r="H138" s="56"/>
      <c r="I138" s="56"/>
      <c r="J138" s="56"/>
      <c r="M138" s="24"/>
      <c r="P138" s="197"/>
      <c r="Q138" s="238"/>
      <c r="R138" s="436"/>
      <c r="S138" s="436"/>
      <c r="T138" s="215"/>
      <c r="U138" s="197"/>
      <c r="V138" s="207"/>
      <c r="W138" s="189"/>
    </row>
    <row r="139" spans="1:23" s="21" customFormat="1" ht="13" x14ac:dyDescent="0.15">
      <c r="A139" s="57" t="s">
        <v>68</v>
      </c>
      <c r="B139" s="58" t="s">
        <v>15</v>
      </c>
      <c r="C139" s="71"/>
      <c r="D139" s="61"/>
      <c r="E139" s="72"/>
      <c r="F139" s="61"/>
      <c r="G139" s="61"/>
      <c r="H139" s="61"/>
      <c r="I139" s="61"/>
      <c r="J139" s="61"/>
      <c r="K139" s="20"/>
      <c r="L139" s="76"/>
      <c r="M139" s="24"/>
      <c r="N139" s="39"/>
      <c r="O139" s="107"/>
      <c r="P139" s="197"/>
      <c r="Q139" s="238"/>
      <c r="R139" s="436"/>
      <c r="S139" s="436"/>
      <c r="T139" s="215"/>
      <c r="U139" s="197"/>
      <c r="V139" s="207"/>
      <c r="W139" s="189"/>
    </row>
    <row r="140" spans="1:23" ht="5" customHeight="1" x14ac:dyDescent="0.15">
      <c r="A140" s="63"/>
      <c r="B140" s="63"/>
      <c r="C140" s="70"/>
      <c r="D140" s="56"/>
      <c r="E140" s="64"/>
      <c r="F140" s="56"/>
      <c r="G140" s="56"/>
      <c r="H140" s="56"/>
      <c r="I140" s="56"/>
      <c r="J140" s="56"/>
      <c r="M140" s="24"/>
      <c r="P140" s="197"/>
      <c r="Q140" s="238"/>
      <c r="R140" s="436"/>
      <c r="S140" s="436"/>
      <c r="T140" s="215"/>
      <c r="U140" s="197"/>
      <c r="V140" s="207"/>
      <c r="W140" s="189"/>
    </row>
    <row r="141" spans="1:23" s="23" customFormat="1" ht="13" x14ac:dyDescent="0.15">
      <c r="A141" s="57" t="s">
        <v>246</v>
      </c>
      <c r="B141" s="65" t="s">
        <v>96</v>
      </c>
      <c r="C141" s="66">
        <v>1</v>
      </c>
      <c r="D141" s="67" t="s">
        <v>242</v>
      </c>
      <c r="J141" s="67">
        <f>SUM(I142:I144)</f>
        <v>18.670000000000002</v>
      </c>
      <c r="K141" s="28">
        <v>195</v>
      </c>
      <c r="L141" s="73">
        <f>SUM(J141*K141)</f>
        <v>3640.65</v>
      </c>
      <c r="M141" s="24"/>
      <c r="N141" s="11"/>
      <c r="O141" s="107"/>
      <c r="P141" s="197">
        <v>0.05</v>
      </c>
      <c r="Q141" s="238"/>
      <c r="R141" s="436"/>
      <c r="S141" s="436"/>
      <c r="T141" s="215">
        <v>0.95</v>
      </c>
      <c r="U141" s="197"/>
      <c r="V141" s="207">
        <f>SUM(P141:U141)</f>
        <v>1</v>
      </c>
      <c r="W141" s="212">
        <f>V141*L141</f>
        <v>3640.65</v>
      </c>
    </row>
    <row r="142" spans="1:23" s="23" customFormat="1" ht="13" x14ac:dyDescent="0.15">
      <c r="A142" s="63"/>
      <c r="B142" s="65" t="s">
        <v>280</v>
      </c>
      <c r="C142" s="66"/>
      <c r="D142" s="67"/>
      <c r="E142" s="68">
        <v>1</v>
      </c>
      <c r="F142" s="67">
        <v>4.7300000000000004</v>
      </c>
      <c r="G142" s="67">
        <v>1.4</v>
      </c>
      <c r="H142" s="67">
        <v>1</v>
      </c>
      <c r="I142" s="67">
        <f>SUM(E142*F142*G142*H142)</f>
        <v>6.62</v>
      </c>
      <c r="J142" s="56"/>
      <c r="K142" s="17"/>
      <c r="L142" s="32"/>
      <c r="M142" s="11"/>
      <c r="N142" s="11"/>
      <c r="O142" s="107"/>
      <c r="P142" s="197"/>
      <c r="Q142" s="238"/>
      <c r="R142" s="436"/>
      <c r="S142" s="436"/>
      <c r="T142" s="215"/>
      <c r="U142" s="197"/>
      <c r="V142" s="207"/>
      <c r="W142" s="189"/>
    </row>
    <row r="143" spans="1:23" s="23" customFormat="1" ht="13" x14ac:dyDescent="0.15">
      <c r="A143" s="63"/>
      <c r="B143" s="65" t="s">
        <v>282</v>
      </c>
      <c r="C143" s="66"/>
      <c r="D143" s="67"/>
      <c r="E143" s="68">
        <v>1</v>
      </c>
      <c r="F143" s="67">
        <v>10.25</v>
      </c>
      <c r="G143" s="67">
        <v>0.4</v>
      </c>
      <c r="H143" s="67">
        <v>0.5</v>
      </c>
      <c r="I143" s="67">
        <f>SUM(E143*F143*G143*H143)</f>
        <v>2.0499999999999998</v>
      </c>
      <c r="J143" s="56"/>
      <c r="K143" s="17"/>
      <c r="L143" s="32"/>
      <c r="M143" s="11"/>
      <c r="N143" s="11"/>
      <c r="O143" s="107"/>
      <c r="P143" s="197"/>
      <c r="Q143" s="238"/>
      <c r="R143" s="436"/>
      <c r="S143" s="436"/>
      <c r="T143" s="215"/>
      <c r="U143" s="197"/>
      <c r="V143" s="207"/>
      <c r="W143" s="189"/>
    </row>
    <row r="144" spans="1:23" s="23" customFormat="1" ht="13" x14ac:dyDescent="0.15">
      <c r="A144" s="63"/>
      <c r="B144" s="65" t="s">
        <v>281</v>
      </c>
      <c r="C144" s="66"/>
      <c r="D144" s="67"/>
      <c r="E144" s="68">
        <v>1</v>
      </c>
      <c r="F144" s="67">
        <v>10</v>
      </c>
      <c r="G144" s="67">
        <v>1</v>
      </c>
      <c r="H144" s="67">
        <v>1</v>
      </c>
      <c r="I144" s="67">
        <f>SUM(E144*F144*G144*H144)</f>
        <v>10</v>
      </c>
      <c r="J144" s="56"/>
      <c r="K144" s="17"/>
      <c r="L144" s="32"/>
      <c r="M144" s="11"/>
      <c r="N144" s="11"/>
      <c r="O144" s="107"/>
      <c r="P144" s="197"/>
      <c r="Q144" s="238"/>
      <c r="R144" s="436"/>
      <c r="S144" s="436"/>
      <c r="T144" s="215"/>
      <c r="U144" s="197"/>
      <c r="V144" s="207"/>
      <c r="W144" s="189"/>
    </row>
    <row r="145" spans="1:34" s="23" customFormat="1" ht="13" x14ac:dyDescent="0.15">
      <c r="A145" s="65" t="s">
        <v>69</v>
      </c>
      <c r="B145" s="65" t="s">
        <v>98</v>
      </c>
      <c r="C145" s="66">
        <v>1</v>
      </c>
      <c r="D145" s="67" t="s">
        <v>16</v>
      </c>
      <c r="J145" s="67">
        <f>SUM(I146:I147)</f>
        <v>10.85</v>
      </c>
      <c r="K145" s="28"/>
      <c r="L145" s="73"/>
      <c r="M145" s="24"/>
      <c r="N145" s="11"/>
      <c r="O145" s="107" t="s">
        <v>325</v>
      </c>
      <c r="P145" s="197"/>
      <c r="Q145" s="238"/>
      <c r="R145" s="436"/>
      <c r="S145" s="436"/>
      <c r="T145" s="215"/>
      <c r="U145" s="197"/>
      <c r="V145" s="207"/>
      <c r="W145" s="189"/>
    </row>
    <row r="146" spans="1:34" s="23" customFormat="1" ht="13" x14ac:dyDescent="0.15">
      <c r="A146" s="63"/>
      <c r="B146" s="65" t="s">
        <v>149</v>
      </c>
      <c r="C146" s="66"/>
      <c r="D146" s="67"/>
      <c r="E146" s="68">
        <v>1</v>
      </c>
      <c r="F146" s="67">
        <v>152</v>
      </c>
      <c r="G146" s="67">
        <v>1</v>
      </c>
      <c r="H146" s="67">
        <v>0.05</v>
      </c>
      <c r="I146" s="67">
        <f>SUM(E146*F146*G146*H146)</f>
        <v>7.6</v>
      </c>
      <c r="J146" s="11"/>
      <c r="K146" s="11"/>
      <c r="L146" s="77"/>
      <c r="M146" s="11"/>
      <c r="N146" s="11"/>
      <c r="O146" s="107"/>
      <c r="P146" s="197"/>
      <c r="Q146" s="238"/>
      <c r="R146" s="436"/>
      <c r="S146" s="436"/>
      <c r="T146" s="215"/>
      <c r="U146" s="197"/>
      <c r="V146" s="207"/>
      <c r="W146" s="189"/>
    </row>
    <row r="147" spans="1:34" s="23" customFormat="1" ht="13" x14ac:dyDescent="0.15">
      <c r="A147" s="63"/>
      <c r="B147" s="65" t="s">
        <v>150</v>
      </c>
      <c r="C147" s="66"/>
      <c r="D147" s="67"/>
      <c r="E147" s="68">
        <v>1</v>
      </c>
      <c r="F147" s="67">
        <v>65</v>
      </c>
      <c r="G147" s="67">
        <v>1</v>
      </c>
      <c r="H147" s="67">
        <v>0.05</v>
      </c>
      <c r="I147" s="67">
        <f>SUM(E147*F147*G147*H147)</f>
        <v>3.25</v>
      </c>
      <c r="J147" s="56"/>
      <c r="K147" s="17"/>
      <c r="L147" s="32"/>
      <c r="M147" s="11"/>
      <c r="N147" s="11"/>
      <c r="O147" s="107"/>
      <c r="P147" s="197"/>
      <c r="Q147" s="238"/>
      <c r="R147" s="436"/>
      <c r="S147" s="436"/>
      <c r="T147" s="215"/>
      <c r="U147" s="197"/>
      <c r="V147" s="207"/>
      <c r="W147" s="189"/>
    </row>
    <row r="148" spans="1:34" thickBot="1" x14ac:dyDescent="0.2">
      <c r="A148" s="63"/>
      <c r="B148" s="63"/>
      <c r="C148" s="70"/>
      <c r="D148" s="56"/>
      <c r="E148" s="64"/>
      <c r="F148" s="56"/>
      <c r="G148" s="56"/>
      <c r="H148" s="56"/>
      <c r="I148" s="56"/>
      <c r="J148" s="56"/>
      <c r="P148" s="197"/>
      <c r="Q148" s="238"/>
      <c r="R148" s="436"/>
      <c r="S148" s="436"/>
      <c r="T148" s="215"/>
      <c r="U148" s="197"/>
      <c r="V148" s="207"/>
      <c r="W148" s="189"/>
    </row>
    <row r="149" spans="1:34" s="25" customFormat="1" thickBot="1" x14ac:dyDescent="0.2">
      <c r="A149" s="46" t="s">
        <v>10</v>
      </c>
      <c r="B149" s="47" t="s">
        <v>66</v>
      </c>
      <c r="C149" s="78"/>
      <c r="D149" s="51"/>
      <c r="E149" s="79"/>
      <c r="F149" s="51"/>
      <c r="G149" s="51"/>
      <c r="H149" s="51"/>
      <c r="I149" s="51"/>
      <c r="J149" s="51"/>
      <c r="K149" s="8"/>
      <c r="L149" s="52"/>
      <c r="M149" s="11"/>
      <c r="N149" s="11"/>
      <c r="O149" s="107"/>
      <c r="P149" s="197"/>
      <c r="Q149" s="238"/>
      <c r="R149" s="436"/>
      <c r="S149" s="436"/>
      <c r="T149" s="215"/>
      <c r="U149" s="197"/>
      <c r="V149" s="207"/>
      <c r="W149" s="189"/>
    </row>
    <row r="150" spans="1:34" ht="13" x14ac:dyDescent="0.15">
      <c r="A150" s="63"/>
      <c r="B150" s="63"/>
      <c r="C150" s="70"/>
      <c r="D150" s="56"/>
      <c r="E150" s="64"/>
      <c r="F150" s="56"/>
      <c r="G150" s="56"/>
      <c r="H150" s="56"/>
      <c r="I150" s="56"/>
      <c r="J150" s="56"/>
      <c r="P150" s="197"/>
      <c r="Q150" s="238"/>
      <c r="R150" s="436"/>
      <c r="S150" s="436"/>
      <c r="T150" s="215"/>
      <c r="U150" s="197"/>
      <c r="V150" s="207"/>
      <c r="W150" s="189"/>
    </row>
    <row r="151" spans="1:34" s="21" customFormat="1" ht="24" x14ac:dyDescent="0.15">
      <c r="A151" s="57" t="s">
        <v>11</v>
      </c>
      <c r="B151" s="58" t="s">
        <v>164</v>
      </c>
      <c r="C151" s="71"/>
      <c r="D151" s="61"/>
      <c r="E151" s="72"/>
      <c r="F151" s="61"/>
      <c r="G151" s="61"/>
      <c r="H151" s="61"/>
      <c r="I151" s="61"/>
      <c r="J151" s="61"/>
      <c r="K151" s="20"/>
      <c r="L151" s="62"/>
      <c r="M151" s="11"/>
      <c r="N151" s="39"/>
      <c r="O151" s="107" t="s">
        <v>296</v>
      </c>
      <c r="P151" s="197"/>
      <c r="Q151" s="238"/>
      <c r="R151" s="436"/>
      <c r="S151" s="436"/>
      <c r="T151" s="215"/>
      <c r="U151" s="197"/>
      <c r="V151" s="207"/>
      <c r="W151" s="189"/>
    </row>
    <row r="152" spans="1:34" ht="5" customHeight="1" x14ac:dyDescent="0.15">
      <c r="A152" s="63"/>
      <c r="B152" s="63"/>
      <c r="C152" s="70"/>
      <c r="D152" s="56"/>
      <c r="E152" s="64"/>
      <c r="F152" s="56"/>
      <c r="G152" s="56"/>
      <c r="H152" s="56"/>
      <c r="I152" s="56"/>
      <c r="J152" s="56"/>
      <c r="P152" s="197"/>
      <c r="Q152" s="238"/>
      <c r="R152" s="436"/>
      <c r="S152" s="436"/>
      <c r="T152" s="215"/>
      <c r="U152" s="197"/>
      <c r="V152" s="207"/>
      <c r="W152" s="189"/>
    </row>
    <row r="153" spans="1:34" s="23" customFormat="1" ht="13" x14ac:dyDescent="0.15">
      <c r="A153" s="65" t="s">
        <v>224</v>
      </c>
      <c r="B153" s="65" t="s">
        <v>223</v>
      </c>
      <c r="C153" s="66">
        <v>1</v>
      </c>
      <c r="D153" s="67" t="s">
        <v>51</v>
      </c>
      <c r="E153" s="68">
        <v>1</v>
      </c>
      <c r="F153" s="67">
        <v>1.75</v>
      </c>
      <c r="G153" s="67">
        <v>0.44</v>
      </c>
      <c r="H153" s="67">
        <v>2.86</v>
      </c>
      <c r="I153" s="67">
        <v>1</v>
      </c>
      <c r="J153" s="67">
        <f>SUM(E153)</f>
        <v>1</v>
      </c>
      <c r="K153" s="28">
        <v>1310.31</v>
      </c>
      <c r="L153" s="73">
        <f t="shared" ref="L153:L156" si="22">SUM(J153*K153)</f>
        <v>1310.31</v>
      </c>
      <c r="M153" s="11"/>
      <c r="N153" s="11"/>
      <c r="O153" s="107"/>
      <c r="P153" s="197">
        <v>0.05</v>
      </c>
      <c r="Q153" s="238"/>
      <c r="R153" s="436"/>
      <c r="S153" s="436">
        <v>0.95</v>
      </c>
      <c r="T153" s="215"/>
      <c r="U153" s="197"/>
      <c r="V153" s="207">
        <f t="shared" ref="V153:V156" si="23">SUM(P153:U153)</f>
        <v>1</v>
      </c>
      <c r="W153" s="212">
        <f t="shared" ref="W153:W156" si="24">V153*L153</f>
        <v>1310.31</v>
      </c>
    </row>
    <row r="154" spans="1:34" s="23" customFormat="1" ht="13" x14ac:dyDescent="0.15">
      <c r="A154" s="65" t="s">
        <v>225</v>
      </c>
      <c r="B154" s="65" t="s">
        <v>122</v>
      </c>
      <c r="C154" s="66">
        <v>1</v>
      </c>
      <c r="D154" s="67" t="s">
        <v>51</v>
      </c>
      <c r="E154" s="68">
        <v>1</v>
      </c>
      <c r="F154" s="67">
        <v>4.6399999999999997</v>
      </c>
      <c r="G154" s="67">
        <v>0.48</v>
      </c>
      <c r="H154" s="67">
        <v>3.62</v>
      </c>
      <c r="I154" s="67">
        <v>1</v>
      </c>
      <c r="J154" s="67">
        <f>SUM(E154)</f>
        <v>1</v>
      </c>
      <c r="K154" s="28">
        <v>4797.17</v>
      </c>
      <c r="L154" s="73">
        <f t="shared" si="22"/>
        <v>4797.17</v>
      </c>
      <c r="M154" s="11"/>
      <c r="N154" s="11"/>
      <c r="O154" s="107"/>
      <c r="P154" s="197">
        <v>0.05</v>
      </c>
      <c r="Q154" s="238"/>
      <c r="R154" s="436"/>
      <c r="S154" s="436">
        <v>0.7</v>
      </c>
      <c r="T154" s="215">
        <v>0.25</v>
      </c>
      <c r="U154" s="197"/>
      <c r="V154" s="207">
        <f t="shared" si="23"/>
        <v>1</v>
      </c>
      <c r="W154" s="212">
        <f t="shared" si="24"/>
        <v>4797.17</v>
      </c>
    </row>
    <row r="155" spans="1:34" s="23" customFormat="1" ht="13" x14ac:dyDescent="0.15">
      <c r="A155" s="65" t="s">
        <v>226</v>
      </c>
      <c r="B155" s="65" t="s">
        <v>123</v>
      </c>
      <c r="C155" s="66">
        <v>1</v>
      </c>
      <c r="D155" s="67" t="s">
        <v>51</v>
      </c>
      <c r="E155" s="68">
        <v>1</v>
      </c>
      <c r="F155" s="67">
        <v>2.1</v>
      </c>
      <c r="G155" s="67">
        <v>0.49</v>
      </c>
      <c r="H155" s="67">
        <v>2.77</v>
      </c>
      <c r="I155" s="67">
        <v>1</v>
      </c>
      <c r="J155" s="67">
        <f>SUM(E155)</f>
        <v>1</v>
      </c>
      <c r="K155" s="28">
        <v>1695.95</v>
      </c>
      <c r="L155" s="73">
        <f t="shared" si="22"/>
        <v>1695.95</v>
      </c>
      <c r="M155" s="11"/>
      <c r="N155" s="11"/>
      <c r="O155" s="107"/>
      <c r="P155" s="197">
        <v>0.05</v>
      </c>
      <c r="Q155" s="238"/>
      <c r="R155" s="436"/>
      <c r="S155" s="436"/>
      <c r="T155" s="215">
        <v>0.95</v>
      </c>
      <c r="U155" s="197"/>
      <c r="V155" s="207">
        <f t="shared" si="23"/>
        <v>1</v>
      </c>
      <c r="W155" s="212">
        <f t="shared" si="24"/>
        <v>1695.95</v>
      </c>
    </row>
    <row r="156" spans="1:34" s="23" customFormat="1" ht="13" x14ac:dyDescent="0.15">
      <c r="A156" s="65" t="s">
        <v>227</v>
      </c>
      <c r="B156" s="65" t="s">
        <v>124</v>
      </c>
      <c r="C156" s="66">
        <v>1</v>
      </c>
      <c r="D156" s="67" t="s">
        <v>51</v>
      </c>
      <c r="E156" s="68">
        <v>2</v>
      </c>
      <c r="F156" s="67">
        <v>1.24</v>
      </c>
      <c r="G156" s="67">
        <v>0.44</v>
      </c>
      <c r="H156" s="67">
        <v>2.2999999999999998</v>
      </c>
      <c r="I156" s="67">
        <v>1</v>
      </c>
      <c r="J156" s="67">
        <f>SUM(E156)</f>
        <v>2</v>
      </c>
      <c r="K156" s="28">
        <v>746.65</v>
      </c>
      <c r="L156" s="73">
        <f t="shared" si="22"/>
        <v>1493.3</v>
      </c>
      <c r="M156" s="11"/>
      <c r="N156" s="11"/>
      <c r="O156" s="107"/>
      <c r="P156" s="197">
        <v>0.05</v>
      </c>
      <c r="Q156" s="238"/>
      <c r="R156" s="436">
        <v>0.95</v>
      </c>
      <c r="S156" s="436"/>
      <c r="T156" s="215"/>
      <c r="U156" s="197"/>
      <c r="V156" s="207">
        <f t="shared" si="23"/>
        <v>1</v>
      </c>
      <c r="W156" s="212">
        <f t="shared" si="24"/>
        <v>1493.3</v>
      </c>
    </row>
    <row r="157" spans="1:34" ht="13" x14ac:dyDescent="0.15">
      <c r="A157" s="63"/>
      <c r="B157" s="63"/>
      <c r="C157" s="70"/>
      <c r="D157" s="56"/>
      <c r="E157" s="64"/>
      <c r="F157" s="56"/>
      <c r="G157" s="56"/>
      <c r="H157" s="56"/>
      <c r="I157" s="56"/>
      <c r="J157" s="56"/>
      <c r="P157" s="197"/>
      <c r="Q157" s="238"/>
      <c r="R157" s="436"/>
      <c r="S157" s="436"/>
      <c r="T157" s="215"/>
      <c r="U157" s="197"/>
      <c r="V157" s="207"/>
      <c r="W157" s="189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</row>
    <row r="158" spans="1:34" s="21" customFormat="1" ht="13" x14ac:dyDescent="0.15">
      <c r="A158" s="57" t="s">
        <v>12</v>
      </c>
      <c r="B158" s="58" t="s">
        <v>67</v>
      </c>
      <c r="C158" s="80"/>
      <c r="D158" s="61"/>
      <c r="E158" s="72"/>
      <c r="F158" s="61"/>
      <c r="G158" s="61"/>
      <c r="H158" s="61"/>
      <c r="I158" s="61"/>
      <c r="J158" s="61"/>
      <c r="K158" s="20"/>
      <c r="L158" s="62"/>
      <c r="M158" s="11"/>
      <c r="N158" s="39"/>
      <c r="O158" s="107"/>
      <c r="P158" s="197"/>
      <c r="Q158" s="238"/>
      <c r="R158" s="436"/>
      <c r="S158" s="436"/>
      <c r="T158" s="215"/>
      <c r="U158" s="197"/>
      <c r="V158" s="207"/>
      <c r="W158" s="189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</row>
    <row r="159" spans="1:34" ht="5" customHeight="1" x14ac:dyDescent="0.15">
      <c r="A159" s="63"/>
      <c r="B159" s="63"/>
      <c r="C159" s="70"/>
      <c r="D159" s="56"/>
      <c r="E159" s="64"/>
      <c r="F159" s="56"/>
      <c r="G159" s="56"/>
      <c r="H159" s="56"/>
      <c r="I159" s="56"/>
      <c r="J159" s="56"/>
      <c r="P159" s="197"/>
      <c r="Q159" s="238"/>
      <c r="R159" s="436"/>
      <c r="S159" s="436"/>
      <c r="T159" s="215"/>
      <c r="U159" s="197"/>
      <c r="V159" s="207"/>
      <c r="W159" s="189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</row>
    <row r="160" spans="1:34" ht="13" x14ac:dyDescent="0.15">
      <c r="A160" s="63"/>
      <c r="B160" s="63"/>
      <c r="C160" s="70"/>
      <c r="D160" s="56"/>
      <c r="E160" s="64"/>
      <c r="F160" s="56"/>
      <c r="G160" s="56"/>
      <c r="H160" s="56"/>
      <c r="I160" s="56"/>
      <c r="J160" s="56"/>
      <c r="P160" s="197"/>
      <c r="Q160" s="238"/>
      <c r="R160" s="436"/>
      <c r="S160" s="436"/>
      <c r="T160" s="215"/>
      <c r="U160" s="197"/>
      <c r="V160" s="207"/>
      <c r="W160" s="189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</row>
    <row r="161" spans="1:34" s="21" customFormat="1" ht="13" x14ac:dyDescent="0.15">
      <c r="A161" s="57" t="s">
        <v>13</v>
      </c>
      <c r="B161" s="58" t="s">
        <v>209</v>
      </c>
      <c r="C161" s="71"/>
      <c r="D161" s="61"/>
      <c r="E161" s="72"/>
      <c r="F161" s="61"/>
      <c r="G161" s="61"/>
      <c r="H161" s="61"/>
      <c r="I161" s="61"/>
      <c r="J161" s="61"/>
      <c r="K161" s="20"/>
      <c r="L161" s="62"/>
      <c r="M161" s="11"/>
      <c r="N161" s="39"/>
      <c r="O161" s="107"/>
      <c r="P161" s="197"/>
      <c r="Q161" s="238"/>
      <c r="R161" s="436"/>
      <c r="S161" s="436"/>
      <c r="T161" s="215"/>
      <c r="U161" s="197"/>
      <c r="V161" s="207"/>
      <c r="W161" s="189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</row>
    <row r="162" spans="1:34" ht="5" customHeight="1" x14ac:dyDescent="0.15">
      <c r="A162" s="63"/>
      <c r="B162" s="63"/>
      <c r="C162" s="70"/>
      <c r="D162" s="56"/>
      <c r="E162" s="64"/>
      <c r="F162" s="56"/>
      <c r="G162" s="56"/>
      <c r="H162" s="56"/>
      <c r="I162" s="56"/>
      <c r="J162" s="56"/>
      <c r="P162" s="197"/>
      <c r="Q162" s="238"/>
      <c r="R162" s="436"/>
      <c r="S162" s="436"/>
      <c r="T162" s="215"/>
      <c r="U162" s="197"/>
      <c r="V162" s="207"/>
      <c r="W162" s="189"/>
    </row>
    <row r="163" spans="1:34" s="23" customFormat="1" ht="13" x14ac:dyDescent="0.15">
      <c r="A163" s="57" t="s">
        <v>22</v>
      </c>
      <c r="B163" s="65" t="s">
        <v>73</v>
      </c>
      <c r="C163" s="66">
        <v>1</v>
      </c>
      <c r="D163" s="67" t="s">
        <v>19</v>
      </c>
      <c r="E163" s="68"/>
      <c r="F163" s="67"/>
      <c r="G163" s="67"/>
      <c r="H163" s="67"/>
      <c r="I163" s="67"/>
      <c r="J163" s="67">
        <f>SUM(I164:I170)</f>
        <v>24.41</v>
      </c>
      <c r="K163" s="28">
        <v>545</v>
      </c>
      <c r="L163" s="73">
        <f>SUM(J163*K163)</f>
        <v>13303.45</v>
      </c>
      <c r="M163" s="11"/>
      <c r="N163" s="287"/>
      <c r="O163" s="107"/>
      <c r="P163" s="197">
        <v>0.05</v>
      </c>
      <c r="Q163" s="238"/>
      <c r="R163" s="436">
        <v>0.7</v>
      </c>
      <c r="S163" s="436"/>
      <c r="T163" s="215">
        <v>0.25</v>
      </c>
      <c r="U163" s="197"/>
      <c r="V163" s="207">
        <f>SUM(P163:U163)</f>
        <v>1</v>
      </c>
      <c r="W163" s="212">
        <f>V163*L163</f>
        <v>13303.45</v>
      </c>
    </row>
    <row r="164" spans="1:34" s="23" customFormat="1" ht="13" x14ac:dyDescent="0.15">
      <c r="A164" s="63"/>
      <c r="B164" s="65" t="s">
        <v>228</v>
      </c>
      <c r="C164" s="66"/>
      <c r="D164" s="67"/>
      <c r="E164" s="68">
        <v>1</v>
      </c>
      <c r="F164" s="67">
        <v>13.3</v>
      </c>
      <c r="G164" s="67">
        <v>0.14000000000000001</v>
      </c>
      <c r="H164" s="67">
        <v>3.28</v>
      </c>
      <c r="I164" s="67">
        <f t="shared" ref="I164:I170" si="25">SUM(E164*F164*G164*H164)</f>
        <v>6.11</v>
      </c>
      <c r="J164" s="56"/>
      <c r="K164" s="17"/>
      <c r="L164" s="32"/>
      <c r="M164" s="11"/>
      <c r="N164" s="11"/>
      <c r="O164" s="107"/>
      <c r="P164" s="197"/>
      <c r="Q164" s="238"/>
      <c r="R164" s="436"/>
      <c r="S164" s="436"/>
      <c r="T164" s="215"/>
      <c r="U164" s="197"/>
      <c r="V164" s="207"/>
      <c r="W164" s="189"/>
    </row>
    <row r="165" spans="1:34" s="23" customFormat="1" ht="13" x14ac:dyDescent="0.15">
      <c r="A165" s="63"/>
      <c r="B165" s="65" t="s">
        <v>229</v>
      </c>
      <c r="C165" s="66"/>
      <c r="D165" s="67"/>
      <c r="E165" s="68">
        <v>1</v>
      </c>
      <c r="F165" s="67">
        <v>6.75</v>
      </c>
      <c r="G165" s="67">
        <v>0.14000000000000001</v>
      </c>
      <c r="H165" s="67">
        <v>3.28</v>
      </c>
      <c r="I165" s="67">
        <f t="shared" si="25"/>
        <v>3.1</v>
      </c>
      <c r="J165" s="56"/>
      <c r="K165" s="17"/>
      <c r="L165" s="32"/>
      <c r="M165" s="11"/>
      <c r="N165" s="11"/>
      <c r="O165" s="107"/>
      <c r="P165" s="197"/>
      <c r="Q165" s="238"/>
      <c r="R165" s="436"/>
      <c r="S165" s="436"/>
      <c r="T165" s="215"/>
      <c r="U165" s="197"/>
      <c r="V165" s="207"/>
      <c r="W165" s="189"/>
    </row>
    <row r="166" spans="1:34" s="23" customFormat="1" ht="13" x14ac:dyDescent="0.15">
      <c r="A166" s="63"/>
      <c r="B166" s="65" t="s">
        <v>233</v>
      </c>
      <c r="C166" s="66"/>
      <c r="D166" s="67"/>
      <c r="E166" s="68">
        <v>1</v>
      </c>
      <c r="F166" s="67">
        <v>1.8</v>
      </c>
      <c r="G166" s="67">
        <v>0.14000000000000001</v>
      </c>
      <c r="H166" s="67">
        <v>5.03</v>
      </c>
      <c r="I166" s="67">
        <f t="shared" si="25"/>
        <v>1.27</v>
      </c>
      <c r="J166" s="56"/>
      <c r="K166" s="17"/>
      <c r="L166" s="32"/>
      <c r="M166" s="11"/>
      <c r="N166" s="11"/>
      <c r="O166" s="107"/>
      <c r="P166" s="197"/>
      <c r="Q166" s="238"/>
      <c r="R166" s="436"/>
      <c r="S166" s="436"/>
      <c r="T166" s="215"/>
      <c r="U166" s="197"/>
      <c r="V166" s="207"/>
      <c r="W166" s="189"/>
    </row>
    <row r="167" spans="1:34" s="23" customFormat="1" ht="13" x14ac:dyDescent="0.15">
      <c r="A167" s="63"/>
      <c r="B167" s="65" t="s">
        <v>234</v>
      </c>
      <c r="C167" s="66"/>
      <c r="D167" s="67"/>
      <c r="E167" s="68">
        <v>2</v>
      </c>
      <c r="F167" s="67">
        <v>6.32</v>
      </c>
      <c r="G167" s="67">
        <v>0.14000000000000001</v>
      </c>
      <c r="H167" s="67">
        <v>2.82</v>
      </c>
      <c r="I167" s="67">
        <f t="shared" si="25"/>
        <v>4.99</v>
      </c>
      <c r="J167" s="56"/>
      <c r="K167" s="17"/>
      <c r="L167" s="32"/>
      <c r="M167" s="11"/>
      <c r="N167" s="11"/>
      <c r="O167" s="107"/>
      <c r="P167" s="197"/>
      <c r="Q167" s="238"/>
      <c r="R167" s="436"/>
      <c r="S167" s="436"/>
      <c r="T167" s="215"/>
      <c r="U167" s="197"/>
      <c r="V167" s="207"/>
      <c r="W167" s="189"/>
    </row>
    <row r="168" spans="1:34" s="23" customFormat="1" ht="13" x14ac:dyDescent="0.15">
      <c r="A168" s="63"/>
      <c r="B168" s="65" t="s">
        <v>235</v>
      </c>
      <c r="C168" s="66"/>
      <c r="D168" s="67"/>
      <c r="E168" s="68">
        <v>2</v>
      </c>
      <c r="F168" s="67">
        <v>5.66</v>
      </c>
      <c r="G168" s="67">
        <v>0.14000000000000001</v>
      </c>
      <c r="H168" s="67">
        <v>3</v>
      </c>
      <c r="I168" s="67">
        <f t="shared" si="25"/>
        <v>4.75</v>
      </c>
      <c r="J168" s="56"/>
      <c r="K168" s="17"/>
      <c r="L168" s="32"/>
      <c r="M168" s="11"/>
      <c r="N168" s="11"/>
      <c r="O168" s="107"/>
      <c r="P168" s="197"/>
      <c r="Q168" s="238"/>
      <c r="R168" s="436"/>
      <c r="S168" s="436"/>
      <c r="T168" s="215"/>
      <c r="U168" s="197"/>
      <c r="V168" s="207"/>
      <c r="W168" s="189"/>
    </row>
    <row r="169" spans="1:34" s="23" customFormat="1" ht="13" x14ac:dyDescent="0.15">
      <c r="A169" s="63"/>
      <c r="B169" s="65" t="s">
        <v>237</v>
      </c>
      <c r="C169" s="66"/>
      <c r="D169" s="67"/>
      <c r="E169" s="68">
        <v>1</v>
      </c>
      <c r="F169" s="67">
        <v>5.66</v>
      </c>
      <c r="G169" s="67">
        <v>0.14000000000000001</v>
      </c>
      <c r="H169" s="67">
        <v>3</v>
      </c>
      <c r="I169" s="67">
        <f t="shared" si="25"/>
        <v>2.38</v>
      </c>
      <c r="J169" s="56"/>
      <c r="K169" s="17"/>
      <c r="L169" s="32"/>
      <c r="M169" s="11"/>
      <c r="N169" s="11"/>
      <c r="O169" s="107"/>
      <c r="P169" s="197"/>
      <c r="Q169" s="238"/>
      <c r="R169" s="436"/>
      <c r="S169" s="436"/>
      <c r="T169" s="215"/>
      <c r="U169" s="197"/>
      <c r="V169" s="207"/>
      <c r="W169" s="189"/>
    </row>
    <row r="170" spans="1:34" s="23" customFormat="1" ht="13" x14ac:dyDescent="0.15">
      <c r="A170" s="63"/>
      <c r="B170" s="65" t="s">
        <v>237</v>
      </c>
      <c r="C170" s="66"/>
      <c r="D170" s="67"/>
      <c r="E170" s="68">
        <v>1</v>
      </c>
      <c r="F170" s="67">
        <v>4.3</v>
      </c>
      <c r="G170" s="67">
        <v>0.14000000000000001</v>
      </c>
      <c r="H170" s="67">
        <v>3</v>
      </c>
      <c r="I170" s="67">
        <f t="shared" si="25"/>
        <v>1.81</v>
      </c>
      <c r="J170" s="56"/>
      <c r="K170" s="17"/>
      <c r="L170" s="32"/>
      <c r="M170" s="11"/>
      <c r="N170" s="11"/>
      <c r="O170" s="107"/>
      <c r="P170" s="197"/>
      <c r="Q170" s="238"/>
      <c r="R170" s="436"/>
      <c r="S170" s="436"/>
      <c r="T170" s="215"/>
      <c r="U170" s="197"/>
      <c r="V170" s="207"/>
      <c r="W170" s="189"/>
    </row>
    <row r="171" spans="1:34" s="23" customFormat="1" ht="13" x14ac:dyDescent="0.15">
      <c r="A171" s="63"/>
      <c r="B171" s="460" t="s">
        <v>526</v>
      </c>
      <c r="C171" s="461"/>
      <c r="D171" s="452"/>
      <c r="E171" s="456">
        <v>2</v>
      </c>
      <c r="F171" s="452">
        <v>5.66</v>
      </c>
      <c r="G171" s="452">
        <v>0.14000000000000001</v>
      </c>
      <c r="H171" s="452">
        <v>0.9</v>
      </c>
      <c r="I171" s="452">
        <f>SUM(E171*F171*G171*H171)</f>
        <v>1.43</v>
      </c>
      <c r="J171" s="452">
        <f>+I171</f>
        <v>1.43</v>
      </c>
      <c r="K171" s="450">
        <v>545</v>
      </c>
      <c r="L171" s="451">
        <f>K171*J171</f>
        <v>779.35</v>
      </c>
      <c r="M171" s="11"/>
      <c r="N171" s="11"/>
      <c r="O171" s="107"/>
      <c r="P171" s="197"/>
      <c r="Q171" s="238">
        <v>1</v>
      </c>
      <c r="R171" s="436"/>
      <c r="S171" s="436"/>
      <c r="T171" s="215"/>
      <c r="U171" s="197"/>
      <c r="V171" s="207">
        <f>SUM(P171:U171)</f>
        <v>1</v>
      </c>
      <c r="W171" s="212">
        <f>V171*L171</f>
        <v>779.35</v>
      </c>
      <c r="X171" s="445" t="s">
        <v>527</v>
      </c>
    </row>
    <row r="172" spans="1:34" s="23" customFormat="1" ht="13" x14ac:dyDescent="0.15">
      <c r="A172" s="63"/>
      <c r="B172" s="460" t="s">
        <v>528</v>
      </c>
      <c r="C172" s="461"/>
      <c r="D172" s="452"/>
      <c r="E172" s="456">
        <v>1</v>
      </c>
      <c r="F172" s="452">
        <v>5.66</v>
      </c>
      <c r="G172" s="452">
        <v>0.14000000000000001</v>
      </c>
      <c r="H172" s="452">
        <v>0.9</v>
      </c>
      <c r="I172" s="452">
        <f>SUM(E172*F172*G172*H172)</f>
        <v>0.71</v>
      </c>
      <c r="J172" s="452">
        <f>+I172</f>
        <v>0.71</v>
      </c>
      <c r="K172" s="450">
        <v>545</v>
      </c>
      <c r="L172" s="451">
        <f>SUM(J172*K172)</f>
        <v>386.95</v>
      </c>
      <c r="M172" s="11"/>
      <c r="N172" s="11"/>
      <c r="O172" s="107"/>
      <c r="P172" s="197"/>
      <c r="Q172" s="238">
        <v>0.05</v>
      </c>
      <c r="R172" s="436">
        <v>0.95</v>
      </c>
      <c r="S172" s="436"/>
      <c r="T172" s="215"/>
      <c r="U172" s="197"/>
      <c r="V172" s="207">
        <f>SUM(P172:U172)</f>
        <v>1</v>
      </c>
      <c r="W172" s="212">
        <f>V172*L172</f>
        <v>386.95</v>
      </c>
      <c r="X172" s="445" t="s">
        <v>527</v>
      </c>
    </row>
    <row r="173" spans="1:34" s="23" customFormat="1" ht="13" x14ac:dyDescent="0.15">
      <c r="A173" s="63"/>
      <c r="B173" s="460" t="s">
        <v>528</v>
      </c>
      <c r="C173" s="461"/>
      <c r="D173" s="452"/>
      <c r="E173" s="456">
        <v>1</v>
      </c>
      <c r="F173" s="452">
        <v>4.3</v>
      </c>
      <c r="G173" s="452">
        <v>0.14000000000000001</v>
      </c>
      <c r="H173" s="452">
        <v>0.9</v>
      </c>
      <c r="I173" s="452">
        <f>SUM(E173*F173*G173*H173)</f>
        <v>0.54</v>
      </c>
      <c r="J173" s="452">
        <f>+I173</f>
        <v>0.54</v>
      </c>
      <c r="K173" s="450">
        <v>545</v>
      </c>
      <c r="L173" s="451">
        <f>SUM(J173*K173)</f>
        <v>294.3</v>
      </c>
      <c r="M173" s="11"/>
      <c r="N173" s="11"/>
      <c r="O173" s="107"/>
      <c r="P173" s="197"/>
      <c r="Q173" s="238">
        <v>0.05</v>
      </c>
      <c r="R173" s="436">
        <v>0.95</v>
      </c>
      <c r="S173" s="436"/>
      <c r="T173" s="215"/>
      <c r="U173" s="197"/>
      <c r="V173" s="207">
        <f>SUM(P173:U173)</f>
        <v>1</v>
      </c>
      <c r="W173" s="212">
        <f>V173*L173</f>
        <v>294.3</v>
      </c>
      <c r="X173" s="445" t="s">
        <v>527</v>
      </c>
    </row>
    <row r="174" spans="1:34" s="23" customFormat="1" ht="13" x14ac:dyDescent="0.15">
      <c r="A174" s="65" t="s">
        <v>252</v>
      </c>
      <c r="B174" s="65" t="s">
        <v>159</v>
      </c>
      <c r="C174" s="66">
        <v>1</v>
      </c>
      <c r="D174" s="67" t="s">
        <v>19</v>
      </c>
      <c r="E174" s="68"/>
      <c r="F174" s="67"/>
      <c r="G174" s="67"/>
      <c r="H174" s="67"/>
      <c r="I174" s="67"/>
      <c r="J174" s="67">
        <f>SUM(I175:I180)</f>
        <v>1.97</v>
      </c>
      <c r="K174" s="28">
        <v>785.15</v>
      </c>
      <c r="L174" s="73">
        <f>SUM(J174*K174)</f>
        <v>1546.75</v>
      </c>
      <c r="M174" s="14"/>
      <c r="N174" s="11"/>
      <c r="O174" s="107"/>
      <c r="P174" s="197">
        <v>0.05</v>
      </c>
      <c r="Q174" s="238"/>
      <c r="R174" s="436">
        <v>0.3</v>
      </c>
      <c r="S174" s="436"/>
      <c r="T174" s="215">
        <v>0.65</v>
      </c>
      <c r="U174" s="197"/>
      <c r="V174" s="207">
        <f>SUM(P174:U174)</f>
        <v>1</v>
      </c>
      <c r="W174" s="212">
        <f>V174*L174</f>
        <v>1546.75</v>
      </c>
    </row>
    <row r="175" spans="1:34" s="23" customFormat="1" ht="13" x14ac:dyDescent="0.15">
      <c r="A175" s="63"/>
      <c r="B175" s="65" t="s">
        <v>230</v>
      </c>
      <c r="C175" s="66"/>
      <c r="D175" s="67"/>
      <c r="E175" s="68">
        <v>1</v>
      </c>
      <c r="F175" s="67">
        <v>13.28</v>
      </c>
      <c r="G175" s="67">
        <v>0.14000000000000001</v>
      </c>
      <c r="H175" s="67">
        <v>0.2</v>
      </c>
      <c r="I175" s="67">
        <f t="shared" ref="I175:I181" si="26">SUM(E175*F175*G175*H175)</f>
        <v>0.37</v>
      </c>
      <c r="J175" s="56"/>
      <c r="K175" s="17"/>
      <c r="L175" s="32"/>
      <c r="M175" s="11"/>
      <c r="N175" s="287"/>
      <c r="O175" s="107"/>
      <c r="P175" s="197"/>
      <c r="Q175" s="238"/>
      <c r="R175" s="436"/>
      <c r="S175" s="436"/>
      <c r="T175" s="215"/>
      <c r="U175" s="197"/>
      <c r="V175" s="207"/>
      <c r="W175" s="189"/>
    </row>
    <row r="176" spans="1:34" s="23" customFormat="1" ht="13" x14ac:dyDescent="0.15">
      <c r="A176" s="63"/>
      <c r="B176" s="65" t="s">
        <v>231</v>
      </c>
      <c r="C176" s="66"/>
      <c r="D176" s="67"/>
      <c r="E176" s="68">
        <v>1</v>
      </c>
      <c r="F176" s="67">
        <v>6.75</v>
      </c>
      <c r="G176" s="67">
        <v>0.14000000000000001</v>
      </c>
      <c r="H176" s="67">
        <v>0.2</v>
      </c>
      <c r="I176" s="67">
        <f t="shared" si="26"/>
        <v>0.19</v>
      </c>
      <c r="J176" s="56"/>
      <c r="K176" s="17"/>
      <c r="L176" s="32"/>
      <c r="M176" s="11"/>
      <c r="N176" s="11"/>
      <c r="O176" s="107"/>
      <c r="P176" s="197"/>
      <c r="Q176" s="238"/>
      <c r="R176" s="436"/>
      <c r="S176" s="436"/>
      <c r="T176" s="215"/>
      <c r="U176" s="197"/>
      <c r="V176" s="207"/>
      <c r="W176" s="189"/>
    </row>
    <row r="177" spans="1:23" s="23" customFormat="1" ht="13" x14ac:dyDescent="0.15">
      <c r="A177" s="63"/>
      <c r="B177" s="65" t="s">
        <v>232</v>
      </c>
      <c r="C177" s="66"/>
      <c r="D177" s="67"/>
      <c r="E177" s="68">
        <v>1</v>
      </c>
      <c r="F177" s="67">
        <v>1.8</v>
      </c>
      <c r="G177" s="67">
        <v>0.14000000000000001</v>
      </c>
      <c r="H177" s="67">
        <v>0.2</v>
      </c>
      <c r="I177" s="67">
        <f t="shared" si="26"/>
        <v>0.05</v>
      </c>
      <c r="J177" s="56"/>
      <c r="K177" s="17"/>
      <c r="L177" s="32"/>
      <c r="M177" s="11"/>
      <c r="N177" s="11"/>
      <c r="O177" s="107"/>
      <c r="P177" s="197"/>
      <c r="Q177" s="238"/>
      <c r="R177" s="436"/>
      <c r="S177" s="436"/>
      <c r="T177" s="215"/>
      <c r="U177" s="197"/>
      <c r="V177" s="207"/>
      <c r="W177" s="189"/>
    </row>
    <row r="178" spans="1:23" s="23" customFormat="1" ht="13" x14ac:dyDescent="0.15">
      <c r="A178" s="63"/>
      <c r="B178" s="65" t="s">
        <v>234</v>
      </c>
      <c r="C178" s="66"/>
      <c r="D178" s="67"/>
      <c r="E178" s="68">
        <v>2</v>
      </c>
      <c r="F178" s="67">
        <v>6.32</v>
      </c>
      <c r="G178" s="67">
        <v>0.14000000000000001</v>
      </c>
      <c r="H178" s="67">
        <v>0.2</v>
      </c>
      <c r="I178" s="67">
        <f t="shared" si="26"/>
        <v>0.35</v>
      </c>
      <c r="J178" s="56"/>
      <c r="K178" s="17"/>
      <c r="L178" s="32"/>
      <c r="M178" s="11"/>
      <c r="N178" s="11"/>
      <c r="O178" s="107"/>
      <c r="P178" s="197"/>
      <c r="Q178" s="238"/>
      <c r="R178" s="436"/>
      <c r="S178" s="436"/>
      <c r="T178" s="215"/>
      <c r="U178" s="197"/>
      <c r="V178" s="207"/>
      <c r="W178" s="189"/>
    </row>
    <row r="179" spans="1:23" s="23" customFormat="1" ht="13" x14ac:dyDescent="0.15">
      <c r="A179" s="63"/>
      <c r="B179" s="65" t="s">
        <v>235</v>
      </c>
      <c r="C179" s="66"/>
      <c r="D179" s="67"/>
      <c r="E179" s="68">
        <v>2</v>
      </c>
      <c r="F179" s="67">
        <v>5.66</v>
      </c>
      <c r="G179" s="67">
        <v>0.14000000000000001</v>
      </c>
      <c r="H179" s="67">
        <v>0.2</v>
      </c>
      <c r="I179" s="67">
        <f t="shared" si="26"/>
        <v>0.32</v>
      </c>
      <c r="J179" s="56"/>
      <c r="K179" s="17"/>
      <c r="L179" s="32"/>
      <c r="M179" s="11"/>
      <c r="N179" s="11"/>
      <c r="O179" s="107"/>
      <c r="P179" s="197"/>
      <c r="Q179" s="238"/>
      <c r="R179" s="436"/>
      <c r="S179" s="436"/>
      <c r="T179" s="215"/>
      <c r="U179" s="197"/>
      <c r="V179" s="207"/>
      <c r="W179" s="189"/>
    </row>
    <row r="180" spans="1:23" s="23" customFormat="1" ht="13" x14ac:dyDescent="0.15">
      <c r="A180" s="63"/>
      <c r="B180" s="65" t="s">
        <v>165</v>
      </c>
      <c r="C180" s="66"/>
      <c r="D180" s="67"/>
      <c r="E180" s="68">
        <v>1</v>
      </c>
      <c r="F180" s="67">
        <v>8.64</v>
      </c>
      <c r="G180" s="67">
        <v>0.2</v>
      </c>
      <c r="H180" s="67">
        <v>0.4</v>
      </c>
      <c r="I180" s="67">
        <f t="shared" si="26"/>
        <v>0.69</v>
      </c>
      <c r="J180" s="56"/>
      <c r="K180" s="17"/>
      <c r="L180" s="32"/>
      <c r="M180" s="11"/>
      <c r="N180" s="11"/>
      <c r="O180" s="107"/>
      <c r="P180" s="197"/>
      <c r="Q180" s="238"/>
      <c r="R180" s="436"/>
      <c r="S180" s="436"/>
      <c r="T180" s="215"/>
      <c r="U180" s="197"/>
      <c r="V180" s="207"/>
      <c r="W180" s="189"/>
    </row>
    <row r="181" spans="1:23" s="23" customFormat="1" ht="13" x14ac:dyDescent="0.15">
      <c r="A181" s="65" t="s">
        <v>23</v>
      </c>
      <c r="B181" s="65" t="s">
        <v>290</v>
      </c>
      <c r="C181" s="66">
        <v>1</v>
      </c>
      <c r="D181" s="67" t="s">
        <v>19</v>
      </c>
      <c r="E181" s="68">
        <v>1</v>
      </c>
      <c r="F181" s="67">
        <v>10.25</v>
      </c>
      <c r="G181" s="67">
        <v>0.4</v>
      </c>
      <c r="H181" s="67">
        <v>0.4</v>
      </c>
      <c r="I181" s="67">
        <f t="shared" si="26"/>
        <v>1.64</v>
      </c>
      <c r="J181" s="67">
        <f>+I181</f>
        <v>1.64</v>
      </c>
      <c r="K181" s="28">
        <v>536.16999999999996</v>
      </c>
      <c r="L181" s="73">
        <f>SUM(J181*K181)</f>
        <v>879.32</v>
      </c>
      <c r="M181" s="11"/>
      <c r="N181" s="11"/>
      <c r="O181" s="107"/>
      <c r="P181" s="197">
        <v>0.05</v>
      </c>
      <c r="Q181" s="238"/>
      <c r="R181" s="436"/>
      <c r="S181" s="436"/>
      <c r="T181" s="215">
        <v>0.95</v>
      </c>
      <c r="U181" s="197"/>
      <c r="V181" s="207">
        <f>SUM(P181:U181)</f>
        <v>1</v>
      </c>
      <c r="W181" s="212">
        <f>V181*L181</f>
        <v>879.32</v>
      </c>
    </row>
    <row r="182" spans="1:23" s="23" customFormat="1" ht="13" x14ac:dyDescent="0.15">
      <c r="A182" s="63"/>
      <c r="B182" s="65" t="s">
        <v>158</v>
      </c>
      <c r="C182" s="66"/>
      <c r="D182" s="67"/>
      <c r="E182" s="68"/>
      <c r="F182" s="67"/>
      <c r="G182" s="67"/>
      <c r="H182" s="67"/>
      <c r="I182" s="67"/>
      <c r="J182" s="56"/>
      <c r="K182" s="17"/>
      <c r="L182" s="32"/>
      <c r="M182" s="11"/>
      <c r="N182" s="11"/>
      <c r="O182" s="107"/>
      <c r="P182" s="197"/>
      <c r="Q182" s="238"/>
      <c r="R182" s="436"/>
      <c r="S182" s="436"/>
      <c r="T182" s="215"/>
      <c r="U182" s="197"/>
      <c r="V182" s="207"/>
      <c r="W182" s="189"/>
    </row>
    <row r="183" spans="1:23" ht="13" x14ac:dyDescent="0.15">
      <c r="A183" s="63"/>
      <c r="B183" s="63"/>
      <c r="C183" s="70"/>
      <c r="D183" s="56"/>
      <c r="E183" s="64"/>
      <c r="F183" s="56"/>
      <c r="G183" s="56"/>
      <c r="H183" s="56"/>
      <c r="I183" s="56"/>
      <c r="J183" s="56"/>
      <c r="P183" s="197"/>
      <c r="Q183" s="238"/>
      <c r="R183" s="436"/>
      <c r="S183" s="436"/>
      <c r="T183" s="215"/>
      <c r="U183" s="197"/>
      <c r="V183" s="207"/>
      <c r="W183" s="189"/>
    </row>
    <row r="184" spans="1:23" s="21" customFormat="1" ht="13" x14ac:dyDescent="0.15">
      <c r="A184" s="57" t="s">
        <v>24</v>
      </c>
      <c r="B184" s="58" t="s">
        <v>78</v>
      </c>
      <c r="C184" s="71"/>
      <c r="D184" s="61"/>
      <c r="E184" s="72"/>
      <c r="F184" s="61"/>
      <c r="G184" s="61"/>
      <c r="H184" s="61"/>
      <c r="I184" s="61"/>
      <c r="J184" s="61"/>
      <c r="K184" s="20"/>
      <c r="L184" s="62"/>
      <c r="M184" s="11"/>
      <c r="N184" s="11"/>
      <c r="O184" s="107"/>
      <c r="P184" s="197"/>
      <c r="Q184" s="238"/>
      <c r="R184" s="436"/>
      <c r="S184" s="436"/>
      <c r="T184" s="215"/>
      <c r="U184" s="197"/>
      <c r="V184" s="207"/>
      <c r="W184" s="189"/>
    </row>
    <row r="185" spans="1:23" ht="5" customHeight="1" x14ac:dyDescent="0.15">
      <c r="A185" s="63"/>
      <c r="B185" s="63"/>
      <c r="C185" s="70"/>
      <c r="D185" s="56"/>
      <c r="E185" s="64"/>
      <c r="F185" s="56"/>
      <c r="G185" s="56"/>
      <c r="H185" s="56"/>
      <c r="I185" s="56"/>
      <c r="J185" s="56"/>
      <c r="P185" s="197"/>
      <c r="Q185" s="238"/>
      <c r="R185" s="436"/>
      <c r="S185" s="436"/>
      <c r="T185" s="215"/>
      <c r="U185" s="197"/>
      <c r="V185" s="207"/>
      <c r="W185" s="189"/>
    </row>
    <row r="186" spans="1:23" s="23" customFormat="1" ht="13" x14ac:dyDescent="0.15">
      <c r="A186" s="65" t="s">
        <v>25</v>
      </c>
      <c r="B186" s="65" t="s">
        <v>218</v>
      </c>
      <c r="C186" s="66">
        <v>1</v>
      </c>
      <c r="D186" s="75" t="s">
        <v>302</v>
      </c>
      <c r="E186" s="68"/>
      <c r="F186" s="67"/>
      <c r="G186" s="67"/>
      <c r="H186" s="67"/>
      <c r="I186" s="67"/>
      <c r="J186" s="67">
        <v>1</v>
      </c>
      <c r="K186" s="28">
        <v>1400</v>
      </c>
      <c r="L186" s="73">
        <f t="shared" ref="L186:L190" si="27">SUM(J186*K186)</f>
        <v>1400</v>
      </c>
      <c r="M186" s="11"/>
      <c r="N186" s="11"/>
      <c r="O186" s="107"/>
      <c r="P186" s="197">
        <v>0.05</v>
      </c>
      <c r="Q186" s="238"/>
      <c r="R186" s="436"/>
      <c r="S186" s="436"/>
      <c r="T186" s="435">
        <v>0.95</v>
      </c>
      <c r="U186" s="197"/>
      <c r="V186" s="207">
        <f t="shared" ref="V186:V190" si="28">SUM(P186:U186)</f>
        <v>1</v>
      </c>
      <c r="W186" s="212">
        <f t="shared" ref="W186:W190" si="29">V186*L186</f>
        <v>1400</v>
      </c>
    </row>
    <row r="187" spans="1:23" s="23" customFormat="1" ht="13" x14ac:dyDescent="0.15">
      <c r="A187" s="65"/>
      <c r="B187" s="111" t="s">
        <v>377</v>
      </c>
      <c r="C187" s="66">
        <v>1</v>
      </c>
      <c r="D187" s="67" t="s">
        <v>211</v>
      </c>
      <c r="E187" s="68"/>
      <c r="F187" s="67"/>
      <c r="G187" s="67"/>
      <c r="H187" s="67"/>
      <c r="I187" s="67"/>
      <c r="J187" s="67">
        <v>0</v>
      </c>
      <c r="K187" s="28">
        <v>36.450000000000003</v>
      </c>
      <c r="L187" s="73">
        <f t="shared" ref="L187" si="30">SUM(J187*K187)</f>
        <v>0</v>
      </c>
      <c r="M187" s="11"/>
      <c r="N187" s="11"/>
      <c r="O187" s="107"/>
      <c r="P187" s="197"/>
      <c r="Q187" s="238"/>
      <c r="R187" s="436"/>
      <c r="S187" s="436"/>
      <c r="T187" s="215"/>
      <c r="U187" s="197"/>
      <c r="V187" s="207"/>
      <c r="W187" s="212"/>
    </row>
    <row r="188" spans="1:23" s="23" customFormat="1" ht="24" x14ac:dyDescent="0.15">
      <c r="A188" s="65" t="s">
        <v>79</v>
      </c>
      <c r="B188" s="65" t="s">
        <v>283</v>
      </c>
      <c r="C188" s="66">
        <v>1</v>
      </c>
      <c r="D188" s="67" t="s">
        <v>211</v>
      </c>
      <c r="E188" s="68"/>
      <c r="F188" s="67"/>
      <c r="G188" s="67"/>
      <c r="H188" s="67"/>
      <c r="I188" s="67"/>
      <c r="J188" s="67">
        <v>50</v>
      </c>
      <c r="K188" s="28">
        <v>200</v>
      </c>
      <c r="L188" s="73">
        <f>SUM(J188*K188)</f>
        <v>10000</v>
      </c>
      <c r="M188" s="11"/>
      <c r="N188" s="11"/>
      <c r="O188" s="571" t="s">
        <v>847</v>
      </c>
      <c r="P188" s="197">
        <v>0.05</v>
      </c>
      <c r="Q188" s="238"/>
      <c r="R188" s="436"/>
      <c r="S188" s="436"/>
      <c r="T188" s="435">
        <v>0.95</v>
      </c>
      <c r="U188" s="197"/>
      <c r="V188" s="207">
        <f t="shared" si="28"/>
        <v>1</v>
      </c>
      <c r="W188" s="212">
        <f t="shared" si="29"/>
        <v>10000</v>
      </c>
    </row>
    <row r="189" spans="1:23" s="23" customFormat="1" ht="24" x14ac:dyDescent="0.15">
      <c r="A189" s="65" t="s">
        <v>212</v>
      </c>
      <c r="B189" s="65" t="s">
        <v>284</v>
      </c>
      <c r="C189" s="66">
        <v>1</v>
      </c>
      <c r="D189" s="67" t="s">
        <v>211</v>
      </c>
      <c r="E189" s="68"/>
      <c r="F189" s="67"/>
      <c r="G189" s="67"/>
      <c r="H189" s="67"/>
      <c r="I189" s="67"/>
      <c r="J189" s="67">
        <v>200</v>
      </c>
      <c r="K189" s="28">
        <v>60.95</v>
      </c>
      <c r="L189" s="73">
        <f t="shared" si="27"/>
        <v>12190</v>
      </c>
      <c r="M189" s="11"/>
      <c r="N189" s="11"/>
      <c r="O189" s="571" t="s">
        <v>847</v>
      </c>
      <c r="P189" s="197">
        <v>0.05</v>
      </c>
      <c r="Q189" s="238"/>
      <c r="R189" s="436"/>
      <c r="S189" s="436"/>
      <c r="T189" s="435">
        <v>0.95</v>
      </c>
      <c r="U189" s="197"/>
      <c r="V189" s="207">
        <f t="shared" si="28"/>
        <v>1</v>
      </c>
      <c r="W189" s="212">
        <f t="shared" si="29"/>
        <v>12190</v>
      </c>
    </row>
    <row r="190" spans="1:23" s="23" customFormat="1" ht="13" x14ac:dyDescent="0.15">
      <c r="A190" s="65" t="s">
        <v>213</v>
      </c>
      <c r="B190" s="65" t="s">
        <v>253</v>
      </c>
      <c r="C190" s="66">
        <v>1</v>
      </c>
      <c r="D190" s="67" t="s">
        <v>18</v>
      </c>
      <c r="E190" s="68"/>
      <c r="F190" s="67"/>
      <c r="G190" s="67"/>
      <c r="H190" s="67"/>
      <c r="I190" s="67"/>
      <c r="J190" s="67">
        <v>1</v>
      </c>
      <c r="K190" s="28">
        <v>500</v>
      </c>
      <c r="L190" s="73">
        <f t="shared" si="27"/>
        <v>500</v>
      </c>
      <c r="M190" s="11"/>
      <c r="N190" s="11"/>
      <c r="O190" s="107"/>
      <c r="P190" s="197">
        <v>0.05</v>
      </c>
      <c r="Q190" s="238"/>
      <c r="R190" s="436"/>
      <c r="S190" s="436"/>
      <c r="T190" s="435">
        <v>0.95</v>
      </c>
      <c r="U190" s="197"/>
      <c r="V190" s="207">
        <f t="shared" si="28"/>
        <v>1</v>
      </c>
      <c r="W190" s="212">
        <f t="shared" si="29"/>
        <v>500</v>
      </c>
    </row>
    <row r="191" spans="1:23" ht="13" x14ac:dyDescent="0.15">
      <c r="A191" s="63"/>
      <c r="B191" s="63"/>
      <c r="C191" s="70"/>
      <c r="D191" s="56"/>
      <c r="E191" s="64"/>
      <c r="F191" s="56"/>
      <c r="G191" s="56"/>
      <c r="H191" s="56"/>
      <c r="I191" s="56"/>
      <c r="J191" s="56"/>
      <c r="P191" s="197"/>
      <c r="Q191" s="238"/>
      <c r="R191" s="436"/>
      <c r="S191" s="436"/>
      <c r="T191" s="215"/>
      <c r="U191" s="197"/>
      <c r="V191" s="207"/>
      <c r="W191" s="189"/>
    </row>
    <row r="192" spans="1:23" s="21" customFormat="1" ht="13" x14ac:dyDescent="0.15">
      <c r="A192" s="57" t="s">
        <v>49</v>
      </c>
      <c r="B192" s="58" t="s">
        <v>5</v>
      </c>
      <c r="C192" s="71"/>
      <c r="D192" s="61"/>
      <c r="E192" s="72"/>
      <c r="F192" s="61"/>
      <c r="G192" s="61"/>
      <c r="H192" s="61"/>
      <c r="I192" s="61"/>
      <c r="J192" s="61"/>
      <c r="K192" s="20"/>
      <c r="L192" s="62"/>
      <c r="M192" s="11"/>
      <c r="N192" s="11"/>
      <c r="O192" s="107"/>
      <c r="P192" s="197"/>
      <c r="Q192" s="238"/>
      <c r="R192" s="436"/>
      <c r="S192" s="436"/>
      <c r="T192" s="215"/>
      <c r="U192" s="197"/>
      <c r="V192" s="207"/>
      <c r="W192" s="189"/>
    </row>
    <row r="193" spans="1:23" ht="5" customHeight="1" x14ac:dyDescent="0.15">
      <c r="A193" s="63"/>
      <c r="B193" s="63"/>
      <c r="C193" s="70"/>
      <c r="D193" s="56"/>
      <c r="E193" s="64"/>
      <c r="F193" s="56"/>
      <c r="G193" s="56"/>
      <c r="H193" s="56"/>
      <c r="I193" s="56"/>
      <c r="J193" s="56"/>
      <c r="P193" s="197"/>
      <c r="Q193" s="238"/>
      <c r="R193" s="436"/>
      <c r="S193" s="436"/>
      <c r="T193" s="215"/>
      <c r="U193" s="197"/>
      <c r="V193" s="207"/>
      <c r="W193" s="189"/>
    </row>
    <row r="194" spans="1:23" s="23" customFormat="1" ht="13" x14ac:dyDescent="0.15">
      <c r="A194" s="65" t="s">
        <v>50</v>
      </c>
      <c r="B194" s="65" t="s">
        <v>80</v>
      </c>
      <c r="C194" s="66">
        <v>1</v>
      </c>
      <c r="D194" s="67" t="s">
        <v>19</v>
      </c>
      <c r="E194" s="68"/>
      <c r="F194" s="67"/>
      <c r="G194" s="67"/>
      <c r="H194" s="67"/>
      <c r="I194" s="67"/>
      <c r="J194" s="81">
        <f>SUM(I195:I196)</f>
        <v>0.16800000000000001</v>
      </c>
      <c r="K194" s="28">
        <v>10950</v>
      </c>
      <c r="L194" s="73">
        <f>SUM(J194*K194)</f>
        <v>1839.6</v>
      </c>
      <c r="M194" s="11"/>
      <c r="N194" s="11"/>
      <c r="O194" s="107"/>
      <c r="P194" s="197">
        <v>0.05</v>
      </c>
      <c r="Q194" s="238"/>
      <c r="R194" s="436"/>
      <c r="S194" s="436"/>
      <c r="T194" s="435">
        <v>0.95</v>
      </c>
      <c r="U194" s="197"/>
      <c r="V194" s="207">
        <f>SUM(P194:U194)</f>
        <v>1</v>
      </c>
      <c r="W194" s="212">
        <f>V194*L194</f>
        <v>1839.6</v>
      </c>
    </row>
    <row r="195" spans="1:23" s="23" customFormat="1" ht="13" x14ac:dyDescent="0.15">
      <c r="A195" s="63"/>
      <c r="B195" s="65" t="s">
        <v>153</v>
      </c>
      <c r="C195" s="66"/>
      <c r="D195" s="67"/>
      <c r="E195" s="68">
        <v>2</v>
      </c>
      <c r="F195" s="67">
        <v>1.24</v>
      </c>
      <c r="G195" s="67">
        <v>0.4</v>
      </c>
      <c r="H195" s="67">
        <v>7.0000000000000007E-2</v>
      </c>
      <c r="I195" s="81">
        <f>SUM(E195*F195*G195*H195)</f>
        <v>6.9000000000000006E-2</v>
      </c>
      <c r="J195" s="56"/>
      <c r="K195" s="17"/>
      <c r="L195" s="32"/>
      <c r="M195" s="11"/>
      <c r="N195" s="11"/>
      <c r="O195" s="107"/>
      <c r="P195" s="197"/>
      <c r="Q195" s="238"/>
      <c r="R195" s="436"/>
      <c r="S195" s="436"/>
      <c r="T195" s="215"/>
      <c r="U195" s="197"/>
      <c r="V195" s="207"/>
      <c r="W195" s="189"/>
    </row>
    <row r="196" spans="1:23" s="23" customFormat="1" ht="13" x14ac:dyDescent="0.15">
      <c r="A196" s="63"/>
      <c r="B196" s="65" t="s">
        <v>154</v>
      </c>
      <c r="C196" s="66"/>
      <c r="D196" s="67"/>
      <c r="E196" s="68">
        <v>1</v>
      </c>
      <c r="F196" s="67">
        <v>4.7</v>
      </c>
      <c r="G196" s="67">
        <v>0.3</v>
      </c>
      <c r="H196" s="67">
        <v>7.0000000000000007E-2</v>
      </c>
      <c r="I196" s="81">
        <f>SUM(E196*F196*G196*H196)</f>
        <v>9.9000000000000005E-2</v>
      </c>
      <c r="J196" s="56"/>
      <c r="K196" s="17"/>
      <c r="L196" s="32"/>
      <c r="M196" s="11"/>
      <c r="N196" s="11"/>
      <c r="O196" s="107"/>
      <c r="P196" s="197"/>
      <c r="Q196" s="238"/>
      <c r="R196" s="436"/>
      <c r="S196" s="436"/>
      <c r="T196" s="215"/>
      <c r="U196" s="197"/>
      <c r="V196" s="207"/>
      <c r="W196" s="189"/>
    </row>
    <row r="197" spans="1:23" ht="13" x14ac:dyDescent="0.15">
      <c r="A197" s="63"/>
      <c r="B197" s="63"/>
      <c r="C197" s="70"/>
      <c r="D197" s="56"/>
      <c r="E197" s="64"/>
      <c r="F197" s="56"/>
      <c r="G197" s="56"/>
      <c r="H197" s="56"/>
      <c r="I197" s="56"/>
      <c r="J197" s="56"/>
      <c r="P197" s="197"/>
      <c r="Q197" s="238"/>
      <c r="R197" s="436"/>
      <c r="S197" s="436"/>
      <c r="T197" s="215"/>
      <c r="U197" s="197"/>
      <c r="V197" s="207"/>
      <c r="W197" s="189"/>
    </row>
    <row r="198" spans="1:23" s="21" customFormat="1" ht="13" x14ac:dyDescent="0.15">
      <c r="A198" s="57" t="s">
        <v>74</v>
      </c>
      <c r="B198" s="58" t="s">
        <v>21</v>
      </c>
      <c r="C198" s="71"/>
      <c r="D198" s="61"/>
      <c r="E198" s="72"/>
      <c r="F198" s="61"/>
      <c r="G198" s="61"/>
      <c r="H198" s="61"/>
      <c r="I198" s="61"/>
      <c r="J198" s="61"/>
      <c r="K198" s="20"/>
      <c r="L198" s="62"/>
      <c r="M198" s="11"/>
      <c r="N198" s="11"/>
      <c r="O198" s="107"/>
      <c r="P198" s="197"/>
      <c r="Q198" s="238"/>
      <c r="R198" s="436"/>
      <c r="S198" s="436"/>
      <c r="T198" s="215"/>
      <c r="U198" s="197"/>
      <c r="V198" s="207"/>
      <c r="W198" s="189"/>
    </row>
    <row r="199" spans="1:23" ht="5" customHeight="1" x14ac:dyDescent="0.15">
      <c r="A199" s="63"/>
      <c r="B199" s="63"/>
      <c r="C199" s="70"/>
      <c r="D199" s="56"/>
      <c r="E199" s="64"/>
      <c r="F199" s="56"/>
      <c r="G199" s="56"/>
      <c r="H199" s="56"/>
      <c r="I199" s="56"/>
      <c r="J199" s="56"/>
      <c r="P199" s="197"/>
      <c r="Q199" s="238"/>
      <c r="R199" s="436"/>
      <c r="S199" s="436"/>
      <c r="T199" s="215"/>
      <c r="U199" s="197"/>
      <c r="V199" s="207"/>
      <c r="W199" s="189"/>
    </row>
    <row r="200" spans="1:23" s="23" customFormat="1" ht="13" x14ac:dyDescent="0.15">
      <c r="A200" s="65" t="s">
        <v>75</v>
      </c>
      <c r="B200" s="65" t="s">
        <v>95</v>
      </c>
      <c r="C200" s="66">
        <v>1</v>
      </c>
      <c r="D200" s="67" t="s">
        <v>16</v>
      </c>
      <c r="E200" s="68"/>
      <c r="F200" s="67"/>
      <c r="G200" s="67"/>
      <c r="H200" s="67"/>
      <c r="I200" s="82"/>
      <c r="J200" s="67"/>
      <c r="K200" s="22"/>
      <c r="L200" s="69"/>
      <c r="M200" s="11"/>
      <c r="N200" s="11"/>
      <c r="O200" s="107"/>
      <c r="P200" s="197"/>
      <c r="Q200" s="238"/>
      <c r="R200" s="436"/>
      <c r="S200" s="436"/>
      <c r="T200" s="215"/>
      <c r="U200" s="197"/>
      <c r="V200" s="207"/>
      <c r="W200" s="189"/>
    </row>
    <row r="201" spans="1:23" s="23" customFormat="1" ht="13" x14ac:dyDescent="0.15">
      <c r="A201" s="65" t="s">
        <v>76</v>
      </c>
      <c r="B201" s="65" t="s">
        <v>100</v>
      </c>
      <c r="C201" s="66" t="s">
        <v>210</v>
      </c>
      <c r="D201" s="67" t="s">
        <v>16</v>
      </c>
      <c r="E201" s="68"/>
      <c r="F201" s="67"/>
      <c r="G201" s="67"/>
      <c r="H201" s="67"/>
      <c r="I201" s="67"/>
      <c r="J201" s="67"/>
      <c r="K201" s="22"/>
      <c r="L201" s="69"/>
      <c r="M201" s="11"/>
      <c r="N201" s="11"/>
      <c r="O201" s="107"/>
      <c r="P201" s="197"/>
      <c r="Q201" s="238"/>
      <c r="R201" s="436"/>
      <c r="S201" s="436"/>
      <c r="T201" s="215"/>
      <c r="U201" s="197"/>
      <c r="V201" s="207"/>
      <c r="W201" s="189"/>
    </row>
    <row r="202" spans="1:23" s="23" customFormat="1" ht="13" x14ac:dyDescent="0.15">
      <c r="A202" s="65" t="s">
        <v>77</v>
      </c>
      <c r="B202" s="65" t="s">
        <v>163</v>
      </c>
      <c r="C202" s="66">
        <v>1</v>
      </c>
      <c r="D202" s="67" t="s">
        <v>9</v>
      </c>
      <c r="E202" s="68"/>
      <c r="F202" s="67"/>
      <c r="G202" s="67"/>
      <c r="H202" s="67"/>
      <c r="I202" s="67"/>
      <c r="J202" s="67">
        <f>SUM(I203:I204)</f>
        <v>236</v>
      </c>
      <c r="K202" s="28">
        <v>4.3499999999999996</v>
      </c>
      <c r="L202" s="73">
        <f>SUM(J202*K202)</f>
        <v>1026.5999999999999</v>
      </c>
      <c r="M202" s="11"/>
      <c r="N202" s="11"/>
      <c r="O202" s="107"/>
      <c r="P202" s="197">
        <v>0.05</v>
      </c>
      <c r="Q202" s="238"/>
      <c r="R202" s="436">
        <v>0.95</v>
      </c>
      <c r="S202" s="436"/>
      <c r="T202" s="215"/>
      <c r="U202" s="197"/>
      <c r="V202" s="207">
        <f>SUM(P202:U202)</f>
        <v>1</v>
      </c>
      <c r="W202" s="212">
        <f>V202*L202</f>
        <v>1026.5999999999999</v>
      </c>
    </row>
    <row r="203" spans="1:23" s="23" customFormat="1" ht="13" x14ac:dyDescent="0.15">
      <c r="A203" s="63"/>
      <c r="B203" s="65" t="s">
        <v>155</v>
      </c>
      <c r="C203" s="66"/>
      <c r="D203" s="67"/>
      <c r="E203" s="68">
        <v>1</v>
      </c>
      <c r="F203" s="67">
        <v>72</v>
      </c>
      <c r="G203" s="67">
        <v>1</v>
      </c>
      <c r="H203" s="67">
        <v>1</v>
      </c>
      <c r="I203" s="67">
        <f>SUM(E203*F203*G203*H203)</f>
        <v>72</v>
      </c>
      <c r="J203" s="56"/>
      <c r="K203" s="17"/>
      <c r="L203" s="32"/>
      <c r="M203" s="11"/>
      <c r="N203" s="11"/>
      <c r="O203" s="285" t="s">
        <v>548</v>
      </c>
      <c r="P203" s="197"/>
      <c r="Q203" s="238"/>
      <c r="R203" s="436"/>
      <c r="S203" s="436"/>
      <c r="T203" s="215"/>
      <c r="U203" s="197"/>
      <c r="V203" s="207"/>
      <c r="W203" s="189"/>
    </row>
    <row r="204" spans="1:23" s="23" customFormat="1" ht="13" x14ac:dyDescent="0.15">
      <c r="A204" s="63"/>
      <c r="B204" s="65" t="s">
        <v>156</v>
      </c>
      <c r="C204" s="66"/>
      <c r="D204" s="67"/>
      <c r="E204" s="68">
        <v>1</v>
      </c>
      <c r="F204" s="67">
        <v>164</v>
      </c>
      <c r="G204" s="67">
        <v>1</v>
      </c>
      <c r="H204" s="67">
        <v>1</v>
      </c>
      <c r="I204" s="67">
        <f>SUM(E204*F204*G204*H204)</f>
        <v>164</v>
      </c>
      <c r="J204" s="56"/>
      <c r="K204" s="17"/>
      <c r="L204" s="32"/>
      <c r="M204" s="11"/>
      <c r="N204" s="11"/>
      <c r="O204" s="107"/>
      <c r="P204" s="197"/>
      <c r="Q204" s="238"/>
      <c r="R204" s="436"/>
      <c r="S204" s="436"/>
      <c r="T204" s="215"/>
      <c r="U204" s="197"/>
      <c r="V204" s="207"/>
      <c r="W204" s="189"/>
    </row>
    <row r="205" spans="1:23" s="23" customFormat="1" ht="13" x14ac:dyDescent="0.15">
      <c r="A205" s="65" t="s">
        <v>81</v>
      </c>
      <c r="B205" s="65" t="s">
        <v>236</v>
      </c>
      <c r="C205" s="66">
        <v>1</v>
      </c>
      <c r="D205" s="67" t="s">
        <v>16</v>
      </c>
      <c r="E205" s="68"/>
      <c r="F205" s="67"/>
      <c r="G205" s="67"/>
      <c r="H205" s="67"/>
      <c r="I205" s="67"/>
      <c r="J205" s="56"/>
      <c r="K205" s="17"/>
      <c r="L205" s="32"/>
      <c r="M205" s="11"/>
      <c r="N205" s="11"/>
      <c r="O205" s="107"/>
      <c r="P205" s="197"/>
      <c r="Q205" s="238"/>
      <c r="R205" s="436"/>
      <c r="S205" s="436"/>
      <c r="T205" s="215"/>
      <c r="U205" s="197"/>
      <c r="V205" s="207"/>
      <c r="W205" s="189"/>
    </row>
    <row r="206" spans="1:23" s="23" customFormat="1" ht="13" x14ac:dyDescent="0.15">
      <c r="A206" s="63"/>
      <c r="B206" s="65" t="s">
        <v>155</v>
      </c>
      <c r="C206" s="66"/>
      <c r="D206" s="67"/>
      <c r="E206" s="68"/>
      <c r="F206" s="67"/>
      <c r="G206" s="67"/>
      <c r="H206" s="67"/>
      <c r="I206" s="81"/>
      <c r="J206" s="56"/>
      <c r="K206" s="17"/>
      <c r="L206" s="32"/>
      <c r="M206" s="11"/>
      <c r="N206" s="11"/>
      <c r="O206" s="107"/>
      <c r="P206" s="197"/>
      <c r="Q206" s="238"/>
      <c r="R206" s="436"/>
      <c r="S206" s="436"/>
      <c r="T206" s="215"/>
      <c r="U206" s="197"/>
      <c r="V206" s="207"/>
      <c r="W206" s="189"/>
    </row>
    <row r="207" spans="1:23" s="23" customFormat="1" ht="13" x14ac:dyDescent="0.15">
      <c r="A207" s="63"/>
      <c r="B207" s="65" t="s">
        <v>156</v>
      </c>
      <c r="C207" s="66"/>
      <c r="D207" s="67"/>
      <c r="E207" s="68"/>
      <c r="F207" s="67"/>
      <c r="G207" s="67"/>
      <c r="H207" s="67"/>
      <c r="I207" s="81"/>
      <c r="J207" s="56"/>
      <c r="K207" s="17"/>
      <c r="L207" s="32"/>
      <c r="M207" s="11"/>
      <c r="N207" s="11"/>
      <c r="O207" s="107"/>
      <c r="P207" s="197"/>
      <c r="Q207" s="238"/>
      <c r="R207" s="436"/>
      <c r="S207" s="436"/>
      <c r="T207" s="215"/>
      <c r="U207" s="197"/>
      <c r="V207" s="207"/>
      <c r="W207" s="190"/>
    </row>
    <row r="208" spans="1:23" s="23" customFormat="1" ht="13" x14ac:dyDescent="0.15">
      <c r="A208" s="65" t="s">
        <v>82</v>
      </c>
      <c r="B208" s="65" t="s">
        <v>254</v>
      </c>
      <c r="C208" s="66">
        <v>1</v>
      </c>
      <c r="D208" s="67" t="s">
        <v>16</v>
      </c>
      <c r="E208" s="68"/>
      <c r="F208" s="67"/>
      <c r="G208" s="67"/>
      <c r="H208" s="67"/>
      <c r="I208" s="67"/>
      <c r="J208" s="56"/>
      <c r="K208" s="17"/>
      <c r="L208" s="32"/>
      <c r="M208" s="11"/>
      <c r="N208" s="11"/>
      <c r="O208" s="107"/>
      <c r="P208" s="197"/>
      <c r="Q208" s="238"/>
      <c r="R208" s="436"/>
      <c r="S208" s="436"/>
      <c r="T208" s="215"/>
      <c r="U208" s="197"/>
      <c r="V208" s="207"/>
      <c r="W208" s="189"/>
    </row>
    <row r="209" spans="1:23" s="23" customFormat="1" ht="13" x14ac:dyDescent="0.15">
      <c r="A209" s="65" t="s">
        <v>264</v>
      </c>
      <c r="B209" s="65" t="s">
        <v>255</v>
      </c>
      <c r="C209" s="66">
        <v>1</v>
      </c>
      <c r="D209" s="67" t="s">
        <v>16</v>
      </c>
      <c r="E209" s="68"/>
      <c r="F209" s="67"/>
      <c r="G209" s="67"/>
      <c r="H209" s="67"/>
      <c r="I209" s="67"/>
      <c r="J209" s="56"/>
      <c r="K209" s="17"/>
      <c r="L209" s="32"/>
      <c r="M209" s="11"/>
      <c r="N209" s="11"/>
      <c r="O209" s="107"/>
      <c r="P209" s="197"/>
      <c r="Q209" s="238"/>
      <c r="R209" s="436"/>
      <c r="S209" s="436"/>
      <c r="T209" s="215"/>
      <c r="U209" s="197"/>
      <c r="V209" s="207"/>
      <c r="W209" s="189"/>
    </row>
    <row r="210" spans="1:23" s="23" customFormat="1" ht="13" x14ac:dyDescent="0.15">
      <c r="A210" s="65" t="s">
        <v>83</v>
      </c>
      <c r="B210" s="65" t="s">
        <v>285</v>
      </c>
      <c r="C210" s="66">
        <v>2</v>
      </c>
      <c r="D210" s="67" t="s">
        <v>16</v>
      </c>
      <c r="E210" s="68"/>
      <c r="F210" s="67"/>
      <c r="G210" s="67"/>
      <c r="H210" s="67"/>
      <c r="I210" s="67"/>
      <c r="J210" s="56"/>
      <c r="K210" s="17"/>
      <c r="L210" s="32"/>
      <c r="M210" s="11"/>
      <c r="N210" s="11"/>
      <c r="O210" s="107"/>
      <c r="P210" s="197"/>
      <c r="Q210" s="238"/>
      <c r="R210" s="436"/>
      <c r="S210" s="436"/>
      <c r="T210" s="215"/>
      <c r="U210" s="197"/>
      <c r="V210" s="207"/>
      <c r="W210" s="189"/>
    </row>
    <row r="211" spans="1:23" s="23" customFormat="1" ht="13" x14ac:dyDescent="0.15">
      <c r="A211" s="65" t="s">
        <v>92</v>
      </c>
      <c r="B211" s="65" t="s">
        <v>256</v>
      </c>
      <c r="C211" s="66" t="s">
        <v>210</v>
      </c>
      <c r="D211" s="67" t="s">
        <v>16</v>
      </c>
      <c r="E211" s="68"/>
      <c r="F211" s="67"/>
      <c r="G211" s="67"/>
      <c r="H211" s="67"/>
      <c r="I211" s="67"/>
      <c r="J211" s="56"/>
      <c r="K211" s="17"/>
      <c r="L211" s="32"/>
      <c r="M211" s="11"/>
      <c r="N211" s="11"/>
      <c r="O211" s="107"/>
      <c r="P211" s="197"/>
      <c r="Q211" s="238"/>
      <c r="R211" s="436"/>
      <c r="S211" s="436"/>
      <c r="T211" s="215"/>
      <c r="U211" s="197"/>
      <c r="V211" s="207"/>
      <c r="W211" s="189"/>
    </row>
    <row r="212" spans="1:23" s="23" customFormat="1" ht="13" x14ac:dyDescent="0.15">
      <c r="A212" s="65" t="s">
        <v>97</v>
      </c>
      <c r="B212" s="65" t="s">
        <v>157</v>
      </c>
      <c r="C212" s="66">
        <v>1</v>
      </c>
      <c r="D212" s="67" t="s">
        <v>9</v>
      </c>
      <c r="E212" s="68"/>
      <c r="F212" s="67"/>
      <c r="G212" s="67"/>
      <c r="H212" s="67"/>
      <c r="I212" s="67"/>
      <c r="J212" s="67">
        <f>SUM(I213:I216)</f>
        <v>207</v>
      </c>
      <c r="K212" s="28">
        <v>105</v>
      </c>
      <c r="L212" s="73">
        <f>SUM(J212*K212)</f>
        <v>21735</v>
      </c>
      <c r="M212" s="11"/>
      <c r="N212" s="11"/>
      <c r="O212" s="107" t="s">
        <v>303</v>
      </c>
      <c r="P212" s="197">
        <v>0.05</v>
      </c>
      <c r="Q212" s="238"/>
      <c r="R212" s="436">
        <v>0.25</v>
      </c>
      <c r="S212" s="436">
        <v>0.7</v>
      </c>
      <c r="T212" s="215"/>
      <c r="U212" s="197"/>
      <c r="V212" s="207">
        <f>SUM(P212:U212)</f>
        <v>1</v>
      </c>
      <c r="W212" s="212">
        <f>V212*L212</f>
        <v>21735</v>
      </c>
    </row>
    <row r="213" spans="1:23" s="23" customFormat="1" ht="13" x14ac:dyDescent="0.15">
      <c r="A213" s="63"/>
      <c r="B213" s="65" t="s">
        <v>200</v>
      </c>
      <c r="C213" s="66"/>
      <c r="D213" s="67"/>
      <c r="E213" s="68">
        <v>1</v>
      </c>
      <c r="F213" s="67">
        <v>65</v>
      </c>
      <c r="G213" s="67">
        <v>1</v>
      </c>
      <c r="H213" s="67">
        <v>1</v>
      </c>
      <c r="I213" s="67">
        <f t="shared" ref="I213:I217" si="31">SUM(E213*F213*G213*H213)</f>
        <v>65</v>
      </c>
      <c r="J213" s="56"/>
      <c r="K213" s="17"/>
      <c r="L213" s="32"/>
      <c r="M213" s="11"/>
      <c r="N213" s="11"/>
      <c r="O213" s="107"/>
      <c r="P213" s="197"/>
      <c r="Q213" s="238"/>
      <c r="R213" s="436"/>
      <c r="S213" s="436"/>
      <c r="T213" s="215"/>
      <c r="U213" s="197"/>
      <c r="V213" s="207"/>
      <c r="W213" s="189"/>
    </row>
    <row r="214" spans="1:23" s="23" customFormat="1" ht="13" x14ac:dyDescent="0.15">
      <c r="A214" s="63"/>
      <c r="B214" s="65" t="s">
        <v>257</v>
      </c>
      <c r="C214" s="66"/>
      <c r="D214" s="67"/>
      <c r="E214" s="68">
        <v>-1</v>
      </c>
      <c r="F214" s="67">
        <v>2.8</v>
      </c>
      <c r="G214" s="67">
        <v>1</v>
      </c>
      <c r="H214" s="67">
        <v>1</v>
      </c>
      <c r="I214" s="67">
        <f t="shared" ref="I214" si="32">SUM(E214*F214*G214*H214)</f>
        <v>-2.8</v>
      </c>
      <c r="J214" s="56"/>
      <c r="K214" s="17"/>
      <c r="L214" s="32"/>
      <c r="M214" s="11"/>
      <c r="N214" s="11"/>
      <c r="O214" s="107"/>
      <c r="P214" s="197"/>
      <c r="Q214" s="238"/>
      <c r="R214" s="436"/>
      <c r="S214" s="436"/>
      <c r="T214" s="215"/>
      <c r="U214" s="197"/>
      <c r="V214" s="207"/>
      <c r="W214" s="189"/>
    </row>
    <row r="215" spans="1:23" s="23" customFormat="1" ht="13" x14ac:dyDescent="0.15">
      <c r="A215" s="63"/>
      <c r="B215" s="65" t="s">
        <v>156</v>
      </c>
      <c r="C215" s="66"/>
      <c r="D215" s="67"/>
      <c r="E215" s="68">
        <v>1</v>
      </c>
      <c r="F215" s="67">
        <v>152</v>
      </c>
      <c r="G215" s="67">
        <v>1</v>
      </c>
      <c r="H215" s="67">
        <v>1</v>
      </c>
      <c r="I215" s="67">
        <f t="shared" si="31"/>
        <v>152</v>
      </c>
      <c r="J215" s="56"/>
      <c r="K215" s="17"/>
      <c r="L215" s="32"/>
      <c r="M215" s="11"/>
      <c r="N215" s="11"/>
      <c r="O215" s="107"/>
      <c r="P215" s="197"/>
      <c r="Q215" s="238"/>
      <c r="R215" s="436"/>
      <c r="S215" s="436"/>
      <c r="T215" s="215"/>
      <c r="U215" s="197"/>
      <c r="V215" s="207"/>
      <c r="W215" s="189"/>
    </row>
    <row r="216" spans="1:23" s="23" customFormat="1" ht="13" x14ac:dyDescent="0.15">
      <c r="A216" s="63"/>
      <c r="B216" s="65" t="s">
        <v>258</v>
      </c>
      <c r="C216" s="66"/>
      <c r="D216" s="67"/>
      <c r="E216" s="68">
        <v>-1</v>
      </c>
      <c r="F216" s="67">
        <v>7.2</v>
      </c>
      <c r="G216" s="67">
        <v>1</v>
      </c>
      <c r="H216" s="67">
        <v>1</v>
      </c>
      <c r="I216" s="67">
        <f t="shared" si="31"/>
        <v>-7.2</v>
      </c>
      <c r="J216" s="56"/>
      <c r="K216" s="17"/>
      <c r="L216" s="32"/>
      <c r="M216" s="11"/>
      <c r="N216" s="11"/>
      <c r="O216" s="107"/>
      <c r="P216" s="197"/>
      <c r="Q216" s="238"/>
      <c r="R216" s="436"/>
      <c r="S216" s="436"/>
      <c r="T216" s="215"/>
      <c r="U216" s="197"/>
      <c r="V216" s="207"/>
      <c r="W216" s="189"/>
    </row>
    <row r="217" spans="1:23" s="23" customFormat="1" ht="13" x14ac:dyDescent="0.15">
      <c r="A217" s="65" t="s">
        <v>99</v>
      </c>
      <c r="B217" s="65" t="s">
        <v>259</v>
      </c>
      <c r="C217" s="66">
        <v>1</v>
      </c>
      <c r="D217" s="75" t="s">
        <v>19</v>
      </c>
      <c r="E217" s="68">
        <v>1</v>
      </c>
      <c r="F217" s="67">
        <v>1</v>
      </c>
      <c r="G217" s="67">
        <v>1</v>
      </c>
      <c r="H217" s="67">
        <v>1</v>
      </c>
      <c r="I217" s="67">
        <f t="shared" si="31"/>
        <v>1</v>
      </c>
      <c r="J217" s="75">
        <f>58.1/1000*J212</f>
        <v>12.03</v>
      </c>
      <c r="K217" s="28">
        <v>442.19</v>
      </c>
      <c r="L217" s="73">
        <f t="shared" ref="L217:L218" si="33">SUM(J217*K217)</f>
        <v>5319.55</v>
      </c>
      <c r="M217" s="11"/>
      <c r="N217" s="11"/>
      <c r="O217" s="107"/>
      <c r="P217" s="197">
        <v>0.05</v>
      </c>
      <c r="Q217" s="238"/>
      <c r="R217" s="436"/>
      <c r="S217" s="436">
        <v>0.95</v>
      </c>
      <c r="T217" s="215"/>
      <c r="U217" s="197"/>
      <c r="V217" s="207">
        <f t="shared" ref="V217:V218" si="34">SUM(P217:U217)</f>
        <v>1</v>
      </c>
      <c r="W217" s="212">
        <f t="shared" ref="W217:W218" si="35">V217*L217</f>
        <v>5319.55</v>
      </c>
    </row>
    <row r="218" spans="1:23" s="23" customFormat="1" ht="13" x14ac:dyDescent="0.15">
      <c r="A218" s="65"/>
      <c r="B218" s="111" t="s">
        <v>306</v>
      </c>
      <c r="C218" s="66"/>
      <c r="D218" s="75" t="s">
        <v>490</v>
      </c>
      <c r="E218" s="68"/>
      <c r="F218" s="67"/>
      <c r="G218" s="67"/>
      <c r="H218" s="67"/>
      <c r="I218" s="67"/>
      <c r="J218" s="75">
        <f>1.3*2.056*J212</f>
        <v>553.27</v>
      </c>
      <c r="K218" s="28">
        <v>4.05</v>
      </c>
      <c r="L218" s="73">
        <f t="shared" si="33"/>
        <v>2240.7399999999998</v>
      </c>
      <c r="M218" s="11"/>
      <c r="N218" s="11"/>
      <c r="O218" s="107"/>
      <c r="P218" s="197">
        <v>0.05</v>
      </c>
      <c r="Q218" s="238"/>
      <c r="R218" s="436">
        <v>0.25</v>
      </c>
      <c r="S218" s="436">
        <v>0.7</v>
      </c>
      <c r="T218" s="215"/>
      <c r="U218" s="197"/>
      <c r="V218" s="207">
        <f t="shared" si="34"/>
        <v>1</v>
      </c>
      <c r="W218" s="212">
        <f t="shared" si="35"/>
        <v>2240.7399999999998</v>
      </c>
    </row>
    <row r="219" spans="1:23" ht="14" customHeight="1" x14ac:dyDescent="0.15">
      <c r="C219" s="26"/>
      <c r="P219" s="197"/>
      <c r="Q219" s="238"/>
      <c r="R219" s="436"/>
      <c r="S219" s="436"/>
      <c r="T219" s="215"/>
      <c r="U219" s="197"/>
      <c r="V219" s="207"/>
      <c r="W219" s="189"/>
    </row>
    <row r="220" spans="1:23" s="21" customFormat="1" ht="13" x14ac:dyDescent="0.15">
      <c r="A220" s="57" t="s">
        <v>84</v>
      </c>
      <c r="B220" s="58" t="s">
        <v>151</v>
      </c>
      <c r="C220" s="71"/>
      <c r="D220" s="61"/>
      <c r="E220" s="72"/>
      <c r="F220" s="61"/>
      <c r="G220" s="61"/>
      <c r="H220" s="61"/>
      <c r="I220" s="61"/>
      <c r="J220" s="61"/>
      <c r="K220" s="20"/>
      <c r="L220" s="62"/>
      <c r="M220" s="11"/>
      <c r="N220" s="11"/>
      <c r="O220" s="107"/>
      <c r="P220" s="197"/>
      <c r="Q220" s="238"/>
      <c r="R220" s="436"/>
      <c r="S220" s="436"/>
      <c r="T220" s="215"/>
      <c r="U220" s="197"/>
      <c r="V220" s="207"/>
      <c r="W220" s="189"/>
    </row>
    <row r="221" spans="1:23" ht="5" customHeight="1" x14ac:dyDescent="0.15">
      <c r="A221" s="63"/>
      <c r="B221" s="63"/>
      <c r="C221" s="70"/>
      <c r="D221" s="56"/>
      <c r="E221" s="64"/>
      <c r="F221" s="56"/>
      <c r="G221" s="56"/>
      <c r="H221" s="56"/>
      <c r="I221" s="56"/>
      <c r="J221" s="56"/>
      <c r="P221" s="197"/>
      <c r="Q221" s="238"/>
      <c r="R221" s="436"/>
      <c r="S221" s="436"/>
      <c r="T221" s="215"/>
      <c r="U221" s="197"/>
      <c r="V221" s="207"/>
      <c r="W221" s="189"/>
    </row>
    <row r="222" spans="1:23" ht="13" x14ac:dyDescent="0.15">
      <c r="A222" s="63"/>
      <c r="B222" s="63"/>
      <c r="C222" s="70"/>
      <c r="D222" s="56"/>
      <c r="E222" s="64"/>
      <c r="F222" s="56"/>
      <c r="G222" s="56"/>
      <c r="H222" s="56"/>
      <c r="I222" s="56"/>
      <c r="J222" s="56"/>
      <c r="P222" s="197"/>
      <c r="Q222" s="238"/>
      <c r="R222" s="436"/>
      <c r="S222" s="436"/>
      <c r="T222" s="215"/>
      <c r="U222" s="197"/>
      <c r="V222" s="207"/>
      <c r="W222" s="189"/>
    </row>
    <row r="223" spans="1:23" s="21" customFormat="1" ht="13" x14ac:dyDescent="0.15">
      <c r="A223" s="57" t="s">
        <v>93</v>
      </c>
      <c r="B223" s="58" t="s">
        <v>85</v>
      </c>
      <c r="C223" s="71"/>
      <c r="D223" s="61"/>
      <c r="E223" s="72"/>
      <c r="F223" s="61"/>
      <c r="G223" s="61"/>
      <c r="H223" s="61"/>
      <c r="I223" s="61"/>
      <c r="J223" s="61"/>
      <c r="K223" s="20"/>
      <c r="L223" s="62"/>
      <c r="M223" s="11"/>
      <c r="N223" s="11"/>
      <c r="O223" s="107"/>
      <c r="P223" s="197"/>
      <c r="Q223" s="238"/>
      <c r="R223" s="436"/>
      <c r="S223" s="436"/>
      <c r="T223" s="215"/>
      <c r="U223" s="197"/>
      <c r="V223" s="207"/>
      <c r="W223" s="189"/>
    </row>
    <row r="224" spans="1:23" ht="5" customHeight="1" x14ac:dyDescent="0.15">
      <c r="A224" s="63"/>
      <c r="B224" s="63"/>
      <c r="C224" s="70"/>
      <c r="D224" s="56"/>
      <c r="E224" s="64"/>
      <c r="F224" s="56"/>
      <c r="G224" s="56"/>
      <c r="H224" s="56"/>
      <c r="I224" s="56"/>
      <c r="J224" s="56"/>
      <c r="P224" s="197"/>
      <c r="Q224" s="238"/>
      <c r="R224" s="436"/>
      <c r="S224" s="436"/>
      <c r="T224" s="215"/>
      <c r="U224" s="197"/>
      <c r="V224" s="207"/>
      <c r="W224" s="189"/>
    </row>
    <row r="225" spans="1:23" s="23" customFormat="1" ht="13" x14ac:dyDescent="0.15">
      <c r="A225" s="65" t="s">
        <v>94</v>
      </c>
      <c r="B225" s="65" t="s">
        <v>289</v>
      </c>
      <c r="C225" s="66">
        <v>1</v>
      </c>
      <c r="D225" s="113" t="s">
        <v>491</v>
      </c>
      <c r="E225" s="68"/>
      <c r="F225" s="67"/>
      <c r="G225" s="67"/>
      <c r="H225" s="67"/>
      <c r="I225" s="67"/>
      <c r="J225" s="67">
        <v>2</v>
      </c>
      <c r="K225" s="28">
        <v>152.88999999999999</v>
      </c>
      <c r="L225" s="73">
        <f t="shared" ref="L225" si="36">SUM(J225*K225)</f>
        <v>305.77999999999997</v>
      </c>
      <c r="M225" s="11"/>
      <c r="N225" s="11"/>
      <c r="O225" s="107"/>
      <c r="P225" s="197">
        <v>0.05</v>
      </c>
      <c r="Q225" s="238"/>
      <c r="R225" s="436"/>
      <c r="S225" s="436"/>
      <c r="T225" s="435">
        <v>0.95</v>
      </c>
      <c r="U225" s="197"/>
      <c r="V225" s="207">
        <f>SUM(P225:U225)</f>
        <v>1</v>
      </c>
      <c r="W225" s="212">
        <f>V225*L225</f>
        <v>305.77999999999997</v>
      </c>
    </row>
    <row r="226" spans="1:23" s="23" customFormat="1" x14ac:dyDescent="0.15">
      <c r="A226" s="65" t="s">
        <v>260</v>
      </c>
      <c r="B226" s="65" t="s">
        <v>288</v>
      </c>
      <c r="C226" s="258" t="s">
        <v>210</v>
      </c>
      <c r="D226" s="113" t="s">
        <v>491</v>
      </c>
      <c r="E226" s="68"/>
      <c r="F226" s="67"/>
      <c r="G226" s="67"/>
      <c r="H226" s="67"/>
      <c r="I226" s="67"/>
      <c r="J226" s="75">
        <v>1</v>
      </c>
      <c r="K226" s="28">
        <v>1003.6</v>
      </c>
      <c r="L226" s="73" t="s">
        <v>309</v>
      </c>
      <c r="M226" s="11"/>
      <c r="N226" s="11"/>
      <c r="O226" s="107"/>
      <c r="P226" s="197"/>
      <c r="Q226" s="238"/>
      <c r="R226" s="436"/>
      <c r="S226" s="436"/>
      <c r="T226" s="215"/>
      <c r="U226" s="197"/>
      <c r="V226" s="207"/>
      <c r="W226" s="189"/>
    </row>
    <row r="227" spans="1:23" thickBot="1" x14ac:dyDescent="0.2">
      <c r="A227" s="63"/>
      <c r="B227" s="63"/>
      <c r="C227" s="70"/>
      <c r="D227" s="56"/>
      <c r="E227" s="64"/>
      <c r="F227" s="56"/>
      <c r="G227" s="56"/>
      <c r="H227" s="56"/>
      <c r="I227" s="56"/>
      <c r="J227" s="56"/>
      <c r="P227" s="197"/>
      <c r="Q227" s="238"/>
      <c r="R227" s="436"/>
      <c r="S227" s="436"/>
      <c r="T227" s="215"/>
      <c r="U227" s="197"/>
      <c r="V227" s="207"/>
      <c r="W227" s="189"/>
    </row>
    <row r="228" spans="1:23" thickBot="1" x14ac:dyDescent="0.2">
      <c r="A228" s="63"/>
      <c r="B228" s="46" t="s">
        <v>89</v>
      </c>
      <c r="C228" s="78"/>
      <c r="D228" s="51"/>
      <c r="E228" s="79"/>
      <c r="F228" s="51"/>
      <c r="G228" s="51"/>
      <c r="H228" s="51"/>
      <c r="I228" s="51"/>
      <c r="J228" s="51"/>
      <c r="K228" s="8"/>
      <c r="L228" s="89">
        <f>SUM(L23:L227)</f>
        <v>185401.13</v>
      </c>
      <c r="P228" s="197"/>
      <c r="Q228" s="238"/>
      <c r="R228" s="436"/>
      <c r="S228" s="436"/>
      <c r="T228" s="215"/>
      <c r="U228" s="197"/>
      <c r="V228" s="207"/>
      <c r="W228" s="189"/>
    </row>
    <row r="229" spans="1:23" s="86" customFormat="1" ht="12" customHeight="1" x14ac:dyDescent="0.15">
      <c r="A229" s="87"/>
      <c r="C229" s="70"/>
      <c r="D229" s="53"/>
      <c r="E229" s="64"/>
      <c r="F229" s="53"/>
      <c r="G229" s="53"/>
      <c r="H229" s="53"/>
      <c r="I229" s="56"/>
      <c r="J229" s="56"/>
      <c r="K229" s="53"/>
      <c r="L229" s="88"/>
      <c r="O229" s="109"/>
      <c r="P229" s="200"/>
      <c r="Q229" s="238"/>
      <c r="R229" s="439"/>
      <c r="S229" s="439"/>
      <c r="T229" s="490"/>
      <c r="U229" s="200"/>
      <c r="V229" s="208"/>
      <c r="W229" s="191"/>
    </row>
    <row r="230" spans="1:23" ht="13" x14ac:dyDescent="0.15">
      <c r="A230" s="90">
        <v>3</v>
      </c>
      <c r="B230" s="29" t="s">
        <v>162</v>
      </c>
      <c r="C230" s="26"/>
      <c r="D230" s="15"/>
      <c r="E230" s="14"/>
      <c r="H230" s="16"/>
      <c r="J230" s="17"/>
      <c r="L230" s="77"/>
      <c r="N230" s="53"/>
      <c r="P230" s="197"/>
      <c r="Q230" s="238"/>
      <c r="R230" s="436"/>
      <c r="S230" s="436"/>
      <c r="T230" s="215"/>
      <c r="U230" s="197"/>
      <c r="V230" s="207"/>
      <c r="W230" s="189"/>
    </row>
    <row r="231" spans="1:23" ht="13" x14ac:dyDescent="0.15">
      <c r="A231" s="90"/>
      <c r="B231" s="91" t="s">
        <v>219</v>
      </c>
      <c r="C231" s="26"/>
      <c r="D231" s="15"/>
      <c r="E231" s="14"/>
      <c r="H231" s="16"/>
      <c r="J231" s="17"/>
      <c r="L231" s="77"/>
      <c r="P231" s="197"/>
      <c r="Q231" s="238"/>
      <c r="R231" s="436"/>
      <c r="S231" s="436"/>
      <c r="T231" s="215"/>
      <c r="U231" s="197"/>
      <c r="V231" s="207"/>
      <c r="W231" s="189"/>
    </row>
    <row r="232" spans="1:23" thickBot="1" x14ac:dyDescent="0.2">
      <c r="A232" s="90"/>
      <c r="B232" s="29"/>
      <c r="C232" s="26"/>
      <c r="D232" s="15"/>
      <c r="E232" s="14"/>
      <c r="H232" s="16"/>
      <c r="J232" s="17"/>
      <c r="L232" s="77"/>
      <c r="P232" s="197"/>
      <c r="Q232" s="238"/>
      <c r="R232" s="436"/>
      <c r="S232" s="436"/>
      <c r="T232" s="215"/>
      <c r="U232" s="197"/>
      <c r="V232" s="207"/>
      <c r="W232" s="189"/>
    </row>
    <row r="233" spans="1:23" s="25" customFormat="1" thickBot="1" x14ac:dyDescent="0.2">
      <c r="A233" s="46" t="s">
        <v>86</v>
      </c>
      <c r="B233" s="47" t="s">
        <v>87</v>
      </c>
      <c r="C233" s="78"/>
      <c r="D233" s="79"/>
      <c r="E233" s="51"/>
      <c r="F233" s="51"/>
      <c r="G233" s="51"/>
      <c r="H233" s="51"/>
      <c r="I233" s="51"/>
      <c r="J233" s="8"/>
      <c r="K233" s="18"/>
      <c r="L233" s="77"/>
      <c r="M233" s="11"/>
      <c r="N233" s="11"/>
      <c r="O233" s="107"/>
      <c r="P233" s="197"/>
      <c r="Q233" s="238"/>
      <c r="R233" s="436"/>
      <c r="S233" s="436"/>
      <c r="T233" s="215"/>
      <c r="U233" s="197"/>
      <c r="V233" s="207"/>
      <c r="W233" s="189"/>
    </row>
    <row r="234" spans="1:23" s="30" customFormat="1" ht="13" x14ac:dyDescent="0.15">
      <c r="A234" s="33"/>
      <c r="B234" s="33"/>
      <c r="C234" s="93"/>
      <c r="D234" s="35"/>
      <c r="E234" s="35"/>
      <c r="F234" s="35"/>
      <c r="G234" s="35"/>
      <c r="H234" s="35"/>
      <c r="I234" s="35"/>
      <c r="J234" s="36"/>
      <c r="K234" s="37"/>
      <c r="L234" s="37"/>
      <c r="M234" s="38"/>
      <c r="N234" s="39"/>
      <c r="O234" s="108"/>
      <c r="P234" s="201"/>
      <c r="Q234" s="238"/>
      <c r="R234" s="439"/>
      <c r="S234" s="439"/>
      <c r="T234" s="490"/>
      <c r="U234" s="201"/>
      <c r="V234" s="209"/>
      <c r="W234" s="192"/>
    </row>
    <row r="235" spans="1:23" s="30" customFormat="1" x14ac:dyDescent="0.15">
      <c r="A235" s="57" t="s">
        <v>171</v>
      </c>
      <c r="B235" s="85" t="s">
        <v>172</v>
      </c>
      <c r="C235" s="96"/>
      <c r="D235" s="97"/>
      <c r="E235" s="97"/>
      <c r="F235" s="97"/>
      <c r="G235" s="97"/>
      <c r="H235" s="97"/>
      <c r="I235" s="97"/>
      <c r="J235" s="98"/>
      <c r="K235" s="99"/>
      <c r="L235" s="100"/>
      <c r="M235" s="38"/>
      <c r="N235" s="39"/>
      <c r="O235" s="108"/>
      <c r="P235" s="201"/>
      <c r="Q235" s="238"/>
      <c r="R235" s="439"/>
      <c r="S235" s="439"/>
      <c r="T235" s="490"/>
      <c r="U235" s="201"/>
      <c r="V235" s="209"/>
      <c r="W235" s="192"/>
    </row>
    <row r="236" spans="1:23" ht="5" customHeight="1" x14ac:dyDescent="0.15">
      <c r="A236" s="63"/>
      <c r="B236" s="63"/>
      <c r="C236" s="70"/>
      <c r="D236" s="56"/>
      <c r="E236" s="64"/>
      <c r="F236" s="56"/>
      <c r="G236" s="56"/>
      <c r="H236" s="56"/>
      <c r="I236" s="56"/>
      <c r="J236" s="56"/>
      <c r="P236" s="197"/>
      <c r="Q236" s="238"/>
      <c r="R236" s="436"/>
      <c r="S236" s="436"/>
      <c r="T236" s="215"/>
      <c r="U236" s="197"/>
      <c r="V236" s="207"/>
      <c r="W236" s="189"/>
    </row>
    <row r="237" spans="1:23" s="30" customFormat="1" ht="24" x14ac:dyDescent="0.15">
      <c r="A237" s="65" t="s">
        <v>173</v>
      </c>
      <c r="B237" s="84" t="s">
        <v>174</v>
      </c>
      <c r="C237" s="27">
        <v>1</v>
      </c>
      <c r="D237" s="92" t="s">
        <v>16</v>
      </c>
      <c r="E237" s="92"/>
      <c r="F237" s="92"/>
      <c r="G237" s="92"/>
      <c r="H237" s="92"/>
      <c r="I237" s="92"/>
      <c r="J237" s="94">
        <f>SUM(I238:I248)</f>
        <v>21</v>
      </c>
      <c r="K237" s="28">
        <v>0</v>
      </c>
      <c r="L237" s="73">
        <f t="shared" ref="L237" si="37">SUM(J237*K237)</f>
        <v>0</v>
      </c>
      <c r="M237" s="38"/>
      <c r="N237" s="39"/>
      <c r="O237" s="108" t="s">
        <v>380</v>
      </c>
      <c r="P237" s="201"/>
      <c r="Q237" s="238"/>
      <c r="R237" s="439"/>
      <c r="S237" s="439"/>
      <c r="T237" s="490"/>
      <c r="U237" s="201"/>
      <c r="V237" s="209"/>
      <c r="W237" s="192"/>
    </row>
    <row r="238" spans="1:23" s="30" customFormat="1" ht="13" x14ac:dyDescent="0.15">
      <c r="A238" s="33"/>
      <c r="B238" s="33"/>
      <c r="C238" s="93"/>
      <c r="D238" s="35"/>
      <c r="E238" s="35"/>
      <c r="F238" s="35"/>
      <c r="G238" s="35"/>
      <c r="H238" s="35"/>
      <c r="I238" s="35"/>
      <c r="J238" s="36"/>
      <c r="K238" s="37"/>
      <c r="L238" s="37"/>
      <c r="M238" s="38"/>
      <c r="N238" s="39"/>
      <c r="O238" s="108"/>
      <c r="P238" s="201"/>
      <c r="Q238" s="238"/>
      <c r="R238" s="439"/>
      <c r="S238" s="439"/>
      <c r="T238" s="490"/>
      <c r="U238" s="201"/>
      <c r="V238" s="209"/>
      <c r="W238" s="192"/>
    </row>
    <row r="239" spans="1:23" s="30" customFormat="1" x14ac:dyDescent="0.15">
      <c r="A239" s="57" t="s">
        <v>170</v>
      </c>
      <c r="B239" s="85" t="s">
        <v>179</v>
      </c>
      <c r="C239" s="96"/>
      <c r="D239" s="97"/>
      <c r="E239" s="97"/>
      <c r="F239" s="97"/>
      <c r="G239" s="97"/>
      <c r="H239" s="97"/>
      <c r="I239" s="97"/>
      <c r="J239" s="98"/>
      <c r="K239" s="99"/>
      <c r="L239" s="100"/>
      <c r="M239" s="38"/>
      <c r="O239" s="110"/>
      <c r="P239" s="201"/>
      <c r="Q239" s="238"/>
      <c r="R239" s="439"/>
      <c r="S239" s="439"/>
      <c r="T239" s="490"/>
      <c r="U239" s="201"/>
      <c r="V239" s="209"/>
      <c r="W239" s="192"/>
    </row>
    <row r="240" spans="1:23" ht="5" customHeight="1" x14ac:dyDescent="0.15">
      <c r="A240" s="63"/>
      <c r="B240" s="63"/>
      <c r="C240" s="70"/>
      <c r="D240" s="56"/>
      <c r="E240" s="64"/>
      <c r="F240" s="56"/>
      <c r="G240" s="56"/>
      <c r="H240" s="56"/>
      <c r="I240" s="56"/>
      <c r="J240" s="56"/>
      <c r="P240" s="197"/>
      <c r="Q240" s="238"/>
      <c r="R240" s="436"/>
      <c r="S240" s="436"/>
      <c r="T240" s="215"/>
      <c r="U240" s="197"/>
      <c r="V240" s="207"/>
      <c r="W240" s="189"/>
    </row>
    <row r="241" spans="1:23" s="30" customFormat="1" ht="13" customHeight="1" x14ac:dyDescent="0.15">
      <c r="A241" s="65" t="s">
        <v>175</v>
      </c>
      <c r="B241" s="84" t="s">
        <v>167</v>
      </c>
      <c r="C241" s="27">
        <v>1</v>
      </c>
      <c r="D241" s="92" t="s">
        <v>18</v>
      </c>
      <c r="E241" s="92">
        <v>1</v>
      </c>
      <c r="F241" s="67">
        <v>1</v>
      </c>
      <c r="G241" s="67">
        <v>1</v>
      </c>
      <c r="H241" s="67">
        <v>1</v>
      </c>
      <c r="I241" s="82">
        <f>SUM(E241*F241*G241*H241)</f>
        <v>1</v>
      </c>
      <c r="J241" s="94">
        <f>+I241</f>
        <v>1</v>
      </c>
      <c r="K241" s="28">
        <v>540</v>
      </c>
      <c r="L241" s="73">
        <f t="shared" ref="L241" si="38">SUM(J241*K241)</f>
        <v>540</v>
      </c>
      <c r="M241" s="38"/>
      <c r="N241" s="39"/>
      <c r="O241" s="108" t="s">
        <v>370</v>
      </c>
      <c r="P241" s="197">
        <v>0.05</v>
      </c>
      <c r="Q241" s="238"/>
      <c r="R241" s="436"/>
      <c r="S241" s="436"/>
      <c r="T241" s="435"/>
      <c r="U241" s="197">
        <v>0</v>
      </c>
      <c r="V241" s="207">
        <f>SUM(P241:U241)</f>
        <v>0.05</v>
      </c>
      <c r="W241" s="212">
        <f>V241*L241</f>
        <v>27</v>
      </c>
    </row>
    <row r="242" spans="1:23" s="30" customFormat="1" ht="13" customHeight="1" x14ac:dyDescent="0.15">
      <c r="A242" s="63"/>
      <c r="B242" s="12"/>
      <c r="C242" s="26"/>
      <c r="D242" s="53"/>
      <c r="E242" s="53"/>
      <c r="F242" s="56"/>
      <c r="G242" s="56"/>
      <c r="H242" s="56"/>
      <c r="I242" s="56"/>
      <c r="J242" s="101"/>
      <c r="K242" s="102"/>
      <c r="L242" s="32"/>
      <c r="M242" s="38"/>
      <c r="N242" s="39"/>
      <c r="O242" s="108"/>
      <c r="P242" s="201"/>
      <c r="Q242" s="238"/>
      <c r="R242" s="439"/>
      <c r="S242" s="439"/>
      <c r="T242" s="572"/>
      <c r="U242" s="201"/>
      <c r="V242" s="209"/>
      <c r="W242" s="192"/>
    </row>
    <row r="243" spans="1:23" s="30" customFormat="1" x14ac:dyDescent="0.15">
      <c r="A243" s="57" t="s">
        <v>176</v>
      </c>
      <c r="B243" s="85" t="s">
        <v>196</v>
      </c>
      <c r="C243" s="96">
        <v>1</v>
      </c>
      <c r="D243" s="97"/>
      <c r="E243" s="97"/>
      <c r="F243" s="97"/>
      <c r="G243" s="97"/>
      <c r="H243" s="97"/>
      <c r="I243" s="97"/>
      <c r="J243" s="98"/>
      <c r="K243" s="99"/>
      <c r="L243" s="100"/>
      <c r="M243" s="38"/>
      <c r="N243" s="39"/>
      <c r="O243" s="108"/>
      <c r="P243" s="201"/>
      <c r="Q243" s="238"/>
      <c r="R243" s="439"/>
      <c r="S243" s="439"/>
      <c r="T243" s="572"/>
      <c r="U243" s="201"/>
      <c r="V243" s="209"/>
      <c r="W243" s="192"/>
    </row>
    <row r="244" spans="1:23" ht="5" customHeight="1" x14ac:dyDescent="0.15">
      <c r="A244" s="63"/>
      <c r="B244" s="63"/>
      <c r="C244" s="70"/>
      <c r="D244" s="56"/>
      <c r="E244" s="64"/>
      <c r="F244" s="56"/>
      <c r="G244" s="56"/>
      <c r="H244" s="56"/>
      <c r="I244" s="56"/>
      <c r="J244" s="56"/>
      <c r="P244" s="197"/>
      <c r="Q244" s="238"/>
      <c r="R244" s="436"/>
      <c r="S244" s="436"/>
      <c r="T244" s="435"/>
      <c r="U244" s="197"/>
      <c r="V244" s="207"/>
      <c r="W244" s="189"/>
    </row>
    <row r="245" spans="1:23" s="30" customFormat="1" ht="13" customHeight="1" x14ac:dyDescent="0.15">
      <c r="A245" s="65" t="s">
        <v>177</v>
      </c>
      <c r="B245" s="103" t="s">
        <v>161</v>
      </c>
      <c r="C245" s="27">
        <v>1</v>
      </c>
      <c r="D245" s="92" t="s">
        <v>18</v>
      </c>
      <c r="E245" s="92">
        <v>1</v>
      </c>
      <c r="F245" s="67">
        <v>1</v>
      </c>
      <c r="G245" s="67">
        <v>1</v>
      </c>
      <c r="H245" s="67">
        <v>1</v>
      </c>
      <c r="I245" s="82">
        <f>SUM(E245*F245*G245*H245)</f>
        <v>1</v>
      </c>
      <c r="J245" s="94">
        <f>+I245</f>
        <v>1</v>
      </c>
      <c r="K245" s="28">
        <v>448.8</v>
      </c>
      <c r="L245" s="73">
        <f t="shared" ref="L245:L246" si="39">SUM(J245*K245)</f>
        <v>448.8</v>
      </c>
      <c r="M245" s="38"/>
      <c r="N245" s="38"/>
      <c r="O245" s="108"/>
      <c r="P245" s="197">
        <v>0.05</v>
      </c>
      <c r="Q245" s="238"/>
      <c r="R245" s="436"/>
      <c r="S245" s="436"/>
      <c r="T245" s="435"/>
      <c r="U245" s="197">
        <v>0</v>
      </c>
      <c r="V245" s="207">
        <f t="shared" ref="V245:V246" si="40">SUM(P245:U245)</f>
        <v>0.05</v>
      </c>
      <c r="W245" s="212">
        <f t="shared" ref="W245:W246" si="41">V245*L245</f>
        <v>22.44</v>
      </c>
    </row>
    <row r="246" spans="1:23" s="30" customFormat="1" ht="36" x14ac:dyDescent="0.15">
      <c r="A246" s="65" t="s">
        <v>180</v>
      </c>
      <c r="B246" s="84" t="s">
        <v>178</v>
      </c>
      <c r="C246" s="27">
        <v>1</v>
      </c>
      <c r="D246" s="92" t="s">
        <v>18</v>
      </c>
      <c r="E246" s="92">
        <v>1</v>
      </c>
      <c r="F246" s="67">
        <v>1</v>
      </c>
      <c r="G246" s="67">
        <v>1</v>
      </c>
      <c r="H246" s="67">
        <v>1</v>
      </c>
      <c r="I246" s="82">
        <f>SUM(E246*F246*G246*H246)</f>
        <v>1</v>
      </c>
      <c r="J246" s="94">
        <f>+I246</f>
        <v>1</v>
      </c>
      <c r="K246" s="28">
        <v>14064</v>
      </c>
      <c r="L246" s="73">
        <f t="shared" si="39"/>
        <v>14064</v>
      </c>
      <c r="M246" s="38"/>
      <c r="N246" s="38"/>
      <c r="O246" s="505" t="s">
        <v>790</v>
      </c>
      <c r="P246" s="197">
        <v>0.05</v>
      </c>
      <c r="Q246" s="238"/>
      <c r="R246" s="436"/>
      <c r="S246" s="436"/>
      <c r="T246" s="215">
        <v>0.65</v>
      </c>
      <c r="U246" s="197">
        <v>0</v>
      </c>
      <c r="V246" s="210">
        <f t="shared" si="40"/>
        <v>0.7</v>
      </c>
      <c r="W246" s="236">
        <f t="shared" si="41"/>
        <v>9844.7999999999993</v>
      </c>
    </row>
    <row r="247" spans="1:23" s="30" customFormat="1" ht="13" customHeight="1" x14ac:dyDescent="0.15">
      <c r="A247" s="65" t="s">
        <v>181</v>
      </c>
      <c r="B247" s="84" t="s">
        <v>160</v>
      </c>
      <c r="C247" s="27">
        <v>1</v>
      </c>
      <c r="D247" s="67" t="s">
        <v>51</v>
      </c>
      <c r="E247" s="92">
        <v>18</v>
      </c>
      <c r="F247" s="67">
        <v>1</v>
      </c>
      <c r="G247" s="67">
        <v>1</v>
      </c>
      <c r="H247" s="67">
        <v>1</v>
      </c>
      <c r="I247" s="82">
        <f>SUM(E247*F247*G247*H247)</f>
        <v>18</v>
      </c>
      <c r="J247" s="94">
        <f>+I247</f>
        <v>18</v>
      </c>
      <c r="K247" s="28"/>
      <c r="L247" s="73"/>
      <c r="M247" s="38"/>
      <c r="N247" s="38"/>
      <c r="O247" s="108" t="s">
        <v>371</v>
      </c>
      <c r="P247" s="201"/>
      <c r="Q247" s="238"/>
      <c r="R247" s="439"/>
      <c r="S247" s="439"/>
      <c r="T247" s="490"/>
      <c r="U247" s="201"/>
      <c r="V247" s="209"/>
      <c r="W247" s="192"/>
    </row>
    <row r="248" spans="1:23" s="30" customFormat="1" ht="13" customHeight="1" x14ac:dyDescent="0.15">
      <c r="A248" s="65" t="s">
        <v>182</v>
      </c>
      <c r="B248" s="84" t="s">
        <v>220</v>
      </c>
      <c r="C248" s="27">
        <v>1</v>
      </c>
      <c r="D248" s="92" t="s">
        <v>17</v>
      </c>
      <c r="E248" s="92"/>
      <c r="F248" s="67"/>
      <c r="G248" s="67"/>
      <c r="H248" s="67"/>
      <c r="I248" s="82"/>
      <c r="J248" s="94"/>
      <c r="K248" s="95"/>
      <c r="L248" s="69"/>
      <c r="M248" s="38"/>
      <c r="N248" s="35">
        <v>0</v>
      </c>
      <c r="O248" s="107" t="s">
        <v>295</v>
      </c>
      <c r="P248" s="201"/>
      <c r="Q248" s="238"/>
      <c r="R248" s="439"/>
      <c r="S248" s="439"/>
      <c r="T248" s="490"/>
      <c r="U248" s="201"/>
      <c r="V248" s="209"/>
      <c r="W248" s="192"/>
    </row>
    <row r="249" spans="1:23" s="30" customFormat="1" ht="13" customHeight="1" x14ac:dyDescent="0.15">
      <c r="A249" s="65" t="s">
        <v>183</v>
      </c>
      <c r="B249" s="84" t="s">
        <v>222</v>
      </c>
      <c r="C249" s="27">
        <v>1</v>
      </c>
      <c r="D249" s="92" t="s">
        <v>17</v>
      </c>
      <c r="E249" s="92"/>
      <c r="F249" s="67"/>
      <c r="G249" s="67"/>
      <c r="H249" s="67"/>
      <c r="I249" s="82"/>
      <c r="J249" s="94"/>
      <c r="K249" s="95"/>
      <c r="L249" s="69"/>
      <c r="M249" s="38"/>
      <c r="N249" s="35"/>
      <c r="O249" s="107" t="s">
        <v>295</v>
      </c>
      <c r="P249" s="201"/>
      <c r="Q249" s="238"/>
      <c r="R249" s="439"/>
      <c r="S249" s="439"/>
      <c r="T249" s="490"/>
      <c r="U249" s="201"/>
      <c r="V249" s="209"/>
      <c r="W249" s="192"/>
    </row>
    <row r="250" spans="1:23" s="30" customFormat="1" ht="13" customHeight="1" x14ac:dyDescent="0.15">
      <c r="A250" s="65" t="s">
        <v>184</v>
      </c>
      <c r="B250" s="84" t="s">
        <v>221</v>
      </c>
      <c r="C250" s="27">
        <v>1</v>
      </c>
      <c r="D250" s="92" t="s">
        <v>17</v>
      </c>
      <c r="E250" s="92"/>
      <c r="F250" s="67"/>
      <c r="G250" s="67"/>
      <c r="H250" s="67"/>
      <c r="I250" s="82"/>
      <c r="J250" s="94"/>
      <c r="K250" s="95"/>
      <c r="L250" s="69"/>
      <c r="M250" s="38"/>
      <c r="N250" s="35"/>
      <c r="O250" s="107" t="s">
        <v>295</v>
      </c>
      <c r="P250" s="201"/>
      <c r="Q250" s="238"/>
      <c r="R250" s="439"/>
      <c r="S250" s="439"/>
      <c r="T250" s="490"/>
      <c r="U250" s="201"/>
      <c r="V250" s="209"/>
      <c r="W250" s="192"/>
    </row>
    <row r="251" spans="1:23" s="30" customFormat="1" x14ac:dyDescent="0.15">
      <c r="A251" s="65" t="s">
        <v>186</v>
      </c>
      <c r="B251" s="84" t="s">
        <v>185</v>
      </c>
      <c r="C251" s="27">
        <v>1</v>
      </c>
      <c r="D251" s="92" t="s">
        <v>18</v>
      </c>
      <c r="E251" s="92">
        <v>1</v>
      </c>
      <c r="F251" s="67">
        <v>1</v>
      </c>
      <c r="G251" s="67">
        <v>1</v>
      </c>
      <c r="H251" s="67">
        <v>1</v>
      </c>
      <c r="I251" s="82">
        <f t="shared" ref="I251:I257" si="42">SUM(E251*F251*G251*H251)</f>
        <v>1</v>
      </c>
      <c r="J251" s="94">
        <f t="shared" ref="J251:J257" si="43">+I251</f>
        <v>1</v>
      </c>
      <c r="K251" s="28">
        <v>1576.8</v>
      </c>
      <c r="L251" s="73">
        <f t="shared" ref="L251:L257" si="44">SUM(J251*K251)</f>
        <v>1576.8</v>
      </c>
      <c r="N251" s="39"/>
      <c r="O251" s="108"/>
      <c r="P251" s="197">
        <v>0.05</v>
      </c>
      <c r="Q251" s="238"/>
      <c r="R251" s="436"/>
      <c r="S251" s="436"/>
      <c r="T251" s="435"/>
      <c r="U251" s="197">
        <v>0</v>
      </c>
      <c r="V251" s="207">
        <f t="shared" ref="V251:V257" si="45">SUM(P251:U251)</f>
        <v>0.05</v>
      </c>
      <c r="W251" s="212">
        <f t="shared" ref="W251:W257" si="46">V251*L251</f>
        <v>78.84</v>
      </c>
    </row>
    <row r="252" spans="1:23" s="30" customFormat="1" x14ac:dyDescent="0.15">
      <c r="A252" s="65" t="s">
        <v>188</v>
      </c>
      <c r="B252" s="84" t="s">
        <v>187</v>
      </c>
      <c r="C252" s="27">
        <v>1</v>
      </c>
      <c r="D252" s="67" t="s">
        <v>51</v>
      </c>
      <c r="E252" s="92">
        <v>3</v>
      </c>
      <c r="F252" s="67">
        <v>1</v>
      </c>
      <c r="G252" s="67">
        <v>1</v>
      </c>
      <c r="H252" s="67">
        <v>1</v>
      </c>
      <c r="I252" s="82">
        <f t="shared" si="42"/>
        <v>3</v>
      </c>
      <c r="J252" s="94">
        <f t="shared" si="43"/>
        <v>3</v>
      </c>
      <c r="K252" s="28">
        <v>62.4</v>
      </c>
      <c r="L252" s="73">
        <f t="shared" si="44"/>
        <v>187.2</v>
      </c>
      <c r="N252" s="39"/>
      <c r="O252" s="108"/>
      <c r="P252" s="197">
        <v>0.05</v>
      </c>
      <c r="Q252" s="238"/>
      <c r="R252" s="436"/>
      <c r="S252" s="436"/>
      <c r="T252" s="435"/>
      <c r="U252" s="197">
        <v>0</v>
      </c>
      <c r="V252" s="207">
        <f t="shared" si="45"/>
        <v>0.05</v>
      </c>
      <c r="W252" s="212">
        <f t="shared" si="46"/>
        <v>9.36</v>
      </c>
    </row>
    <row r="253" spans="1:23" s="30" customFormat="1" x14ac:dyDescent="0.15">
      <c r="A253" s="65" t="s">
        <v>189</v>
      </c>
      <c r="B253" s="84" t="s">
        <v>201</v>
      </c>
      <c r="C253" s="27">
        <v>1</v>
      </c>
      <c r="D253" s="67" t="s">
        <v>51</v>
      </c>
      <c r="E253" s="92">
        <v>4</v>
      </c>
      <c r="F253" s="67">
        <v>1</v>
      </c>
      <c r="G253" s="67">
        <v>1</v>
      </c>
      <c r="H253" s="67">
        <v>1</v>
      </c>
      <c r="I253" s="82">
        <f t="shared" si="42"/>
        <v>4</v>
      </c>
      <c r="J253" s="94">
        <f t="shared" si="43"/>
        <v>4</v>
      </c>
      <c r="K253" s="28">
        <v>62.4</v>
      </c>
      <c r="L253" s="73">
        <f t="shared" si="44"/>
        <v>249.6</v>
      </c>
      <c r="N253" s="39"/>
      <c r="O253" s="108"/>
      <c r="P253" s="197">
        <v>0.05</v>
      </c>
      <c r="Q253" s="238"/>
      <c r="R253" s="436"/>
      <c r="S253" s="436"/>
      <c r="T253" s="435"/>
      <c r="U253" s="197">
        <v>0</v>
      </c>
      <c r="V253" s="207">
        <f t="shared" si="45"/>
        <v>0.05</v>
      </c>
      <c r="W253" s="212">
        <f t="shared" si="46"/>
        <v>12.48</v>
      </c>
    </row>
    <row r="254" spans="1:23" s="30" customFormat="1" x14ac:dyDescent="0.15">
      <c r="A254" s="65" t="s">
        <v>192</v>
      </c>
      <c r="B254" s="84" t="s">
        <v>190</v>
      </c>
      <c r="C254" s="27">
        <v>1</v>
      </c>
      <c r="D254" s="67" t="s">
        <v>51</v>
      </c>
      <c r="E254" s="92">
        <v>1</v>
      </c>
      <c r="F254" s="67">
        <v>1</v>
      </c>
      <c r="G254" s="67">
        <v>1</v>
      </c>
      <c r="H254" s="67">
        <v>1</v>
      </c>
      <c r="I254" s="82">
        <f t="shared" si="42"/>
        <v>1</v>
      </c>
      <c r="J254" s="94">
        <f t="shared" si="43"/>
        <v>1</v>
      </c>
      <c r="K254" s="28">
        <v>66</v>
      </c>
      <c r="L254" s="73">
        <f t="shared" si="44"/>
        <v>66</v>
      </c>
      <c r="N254" s="39"/>
      <c r="O254" s="108"/>
      <c r="P254" s="197">
        <v>0.05</v>
      </c>
      <c r="Q254" s="238"/>
      <c r="R254" s="436"/>
      <c r="S254" s="436"/>
      <c r="T254" s="435"/>
      <c r="U254" s="197">
        <v>0</v>
      </c>
      <c r="V254" s="207">
        <f t="shared" si="45"/>
        <v>0.05</v>
      </c>
      <c r="W254" s="212">
        <f t="shared" si="46"/>
        <v>3.3</v>
      </c>
    </row>
    <row r="255" spans="1:23" s="30" customFormat="1" x14ac:dyDescent="0.15">
      <c r="A255" s="65" t="s">
        <v>193</v>
      </c>
      <c r="B255" s="84" t="s">
        <v>191</v>
      </c>
      <c r="C255" s="27">
        <v>1</v>
      </c>
      <c r="D255" s="67" t="s">
        <v>51</v>
      </c>
      <c r="E255" s="92">
        <v>4</v>
      </c>
      <c r="F255" s="67">
        <v>1</v>
      </c>
      <c r="G255" s="67">
        <v>1</v>
      </c>
      <c r="H255" s="67">
        <v>1</v>
      </c>
      <c r="I255" s="82">
        <f t="shared" si="42"/>
        <v>4</v>
      </c>
      <c r="J255" s="94">
        <f t="shared" si="43"/>
        <v>4</v>
      </c>
      <c r="K255" s="28">
        <v>66</v>
      </c>
      <c r="L255" s="73">
        <f t="shared" si="44"/>
        <v>264</v>
      </c>
      <c r="N255" s="39"/>
      <c r="O255" s="108"/>
      <c r="P255" s="197">
        <v>0.05</v>
      </c>
      <c r="Q255" s="238"/>
      <c r="R255" s="436"/>
      <c r="S255" s="436"/>
      <c r="T255" s="435"/>
      <c r="U255" s="197">
        <v>0</v>
      </c>
      <c r="V255" s="207">
        <f t="shared" si="45"/>
        <v>0.05</v>
      </c>
      <c r="W255" s="212">
        <f t="shared" si="46"/>
        <v>13.2</v>
      </c>
    </row>
    <row r="256" spans="1:23" s="30" customFormat="1" x14ac:dyDescent="0.15">
      <c r="A256" s="65" t="s">
        <v>195</v>
      </c>
      <c r="B256" s="84" t="s">
        <v>194</v>
      </c>
      <c r="C256" s="27"/>
      <c r="D256" s="67" t="s">
        <v>51</v>
      </c>
      <c r="E256" s="92">
        <v>3</v>
      </c>
      <c r="F256" s="67">
        <v>1</v>
      </c>
      <c r="G256" s="67">
        <v>1</v>
      </c>
      <c r="H256" s="67">
        <v>1</v>
      </c>
      <c r="I256" s="82">
        <f t="shared" si="42"/>
        <v>3</v>
      </c>
      <c r="J256" s="94">
        <f t="shared" si="43"/>
        <v>3</v>
      </c>
      <c r="K256" s="28">
        <v>222</v>
      </c>
      <c r="L256" s="73">
        <f t="shared" si="44"/>
        <v>666</v>
      </c>
      <c r="N256" s="39"/>
      <c r="O256" s="108"/>
      <c r="P256" s="197">
        <v>0.05</v>
      </c>
      <c r="Q256" s="238"/>
      <c r="R256" s="436"/>
      <c r="S256" s="436"/>
      <c r="T256" s="435"/>
      <c r="U256" s="197">
        <v>0</v>
      </c>
      <c r="V256" s="207">
        <f t="shared" si="45"/>
        <v>0.05</v>
      </c>
      <c r="W256" s="212">
        <f t="shared" si="46"/>
        <v>33.299999999999997</v>
      </c>
    </row>
    <row r="257" spans="1:23" s="30" customFormat="1" x14ac:dyDescent="0.15">
      <c r="A257" s="65" t="s">
        <v>197</v>
      </c>
      <c r="B257" s="84" t="s">
        <v>198</v>
      </c>
      <c r="C257" s="27">
        <v>1</v>
      </c>
      <c r="D257" s="67" t="s">
        <v>51</v>
      </c>
      <c r="E257" s="92">
        <v>3</v>
      </c>
      <c r="F257" s="67">
        <v>1</v>
      </c>
      <c r="G257" s="67">
        <v>1</v>
      </c>
      <c r="H257" s="67">
        <v>1</v>
      </c>
      <c r="I257" s="82">
        <f t="shared" si="42"/>
        <v>3</v>
      </c>
      <c r="J257" s="94">
        <f t="shared" si="43"/>
        <v>3</v>
      </c>
      <c r="K257" s="28">
        <v>237.6</v>
      </c>
      <c r="L257" s="73">
        <f t="shared" si="44"/>
        <v>712.8</v>
      </c>
      <c r="N257" s="39"/>
      <c r="O257" s="108"/>
      <c r="P257" s="197">
        <v>0.05</v>
      </c>
      <c r="Q257" s="238"/>
      <c r="R257" s="436"/>
      <c r="S257" s="436"/>
      <c r="T257" s="435"/>
      <c r="U257" s="197">
        <v>0</v>
      </c>
      <c r="V257" s="207">
        <f t="shared" si="45"/>
        <v>0.05</v>
      </c>
      <c r="W257" s="212">
        <f t="shared" si="46"/>
        <v>35.64</v>
      </c>
    </row>
    <row r="258" spans="1:23" thickBot="1" x14ac:dyDescent="0.2">
      <c r="A258" s="63"/>
      <c r="B258" s="63"/>
      <c r="C258" s="70"/>
      <c r="D258" s="56"/>
      <c r="E258" s="56"/>
      <c r="F258" s="56"/>
      <c r="G258" s="56"/>
      <c r="H258" s="56"/>
      <c r="I258" s="56"/>
      <c r="J258" s="56"/>
      <c r="P258" s="197"/>
      <c r="Q258" s="238"/>
      <c r="R258" s="436"/>
      <c r="S258" s="436"/>
      <c r="T258" s="215"/>
      <c r="U258" s="197"/>
      <c r="V258" s="207"/>
      <c r="W258" s="189"/>
    </row>
    <row r="259" spans="1:23" thickBot="1" x14ac:dyDescent="0.2">
      <c r="A259" s="63"/>
      <c r="B259" s="46" t="s">
        <v>286</v>
      </c>
      <c r="C259" s="78"/>
      <c r="D259" s="51"/>
      <c r="E259" s="79"/>
      <c r="F259" s="51"/>
      <c r="G259" s="51"/>
      <c r="H259" s="51"/>
      <c r="I259" s="51"/>
      <c r="J259" s="51"/>
      <c r="K259" s="8"/>
      <c r="L259" s="89">
        <f>SUM(L233:L258)</f>
        <v>18775.2</v>
      </c>
      <c r="P259" s="197"/>
      <c r="Q259" s="238"/>
      <c r="R259" s="436"/>
      <c r="S259" s="436"/>
      <c r="T259" s="215"/>
      <c r="U259" s="197"/>
      <c r="V259" s="207"/>
      <c r="W259" s="189"/>
    </row>
    <row r="260" spans="1:23" ht="13" x14ac:dyDescent="0.15">
      <c r="A260" s="53"/>
      <c r="B260" s="30"/>
      <c r="C260" s="70"/>
      <c r="D260" s="64"/>
      <c r="E260" s="56"/>
      <c r="F260" s="56"/>
      <c r="G260" s="56"/>
      <c r="H260" s="56"/>
      <c r="I260" s="56"/>
      <c r="J260" s="17"/>
      <c r="L260" s="77"/>
      <c r="P260" s="197"/>
      <c r="Q260" s="238"/>
      <c r="R260" s="436"/>
      <c r="S260" s="436"/>
      <c r="T260" s="215"/>
      <c r="U260" s="197"/>
      <c r="V260" s="207"/>
      <c r="W260" s="189"/>
    </row>
    <row r="261" spans="1:23" ht="13" x14ac:dyDescent="0.15">
      <c r="A261" s="63"/>
      <c r="B261" s="63"/>
      <c r="C261" s="54"/>
      <c r="D261" s="56"/>
      <c r="E261" s="64"/>
      <c r="F261" s="56"/>
      <c r="G261" s="56"/>
      <c r="H261" s="56"/>
      <c r="I261" s="56"/>
      <c r="J261" s="56"/>
      <c r="P261" s="197"/>
      <c r="Q261" s="238"/>
      <c r="R261" s="436"/>
      <c r="S261" s="436"/>
      <c r="T261" s="215"/>
      <c r="U261" s="197"/>
      <c r="V261" s="207"/>
      <c r="W261" s="189"/>
    </row>
    <row r="262" spans="1:23" ht="13" x14ac:dyDescent="0.15">
      <c r="A262" s="63"/>
      <c r="B262" s="63"/>
      <c r="C262" s="54"/>
      <c r="D262" s="56"/>
      <c r="E262" s="64"/>
      <c r="F262" s="56"/>
      <c r="G262" s="56"/>
      <c r="H262" s="56"/>
      <c r="I262" s="56"/>
      <c r="J262" s="56"/>
      <c r="P262" s="197"/>
      <c r="Q262" s="238"/>
      <c r="R262" s="436"/>
      <c r="S262" s="436"/>
      <c r="T262" s="215"/>
      <c r="U262" s="197"/>
      <c r="V262" s="207"/>
      <c r="W262" s="189"/>
    </row>
    <row r="263" spans="1:23" ht="13" x14ac:dyDescent="0.15">
      <c r="A263" s="63"/>
      <c r="B263" s="63"/>
      <c r="C263" s="54"/>
      <c r="D263" s="56"/>
      <c r="E263" s="64"/>
      <c r="F263" s="56"/>
      <c r="G263" s="56"/>
      <c r="H263" s="56"/>
      <c r="I263" s="56"/>
      <c r="J263" s="56"/>
      <c r="P263" s="197"/>
      <c r="Q263" s="238"/>
      <c r="R263" s="436"/>
      <c r="S263" s="436"/>
      <c r="T263" s="215"/>
      <c r="U263" s="197"/>
      <c r="V263" s="207"/>
      <c r="W263" s="189"/>
    </row>
    <row r="264" spans="1:23" ht="13" x14ac:dyDescent="0.15">
      <c r="A264" s="63"/>
      <c r="B264" s="63"/>
      <c r="C264" s="54"/>
      <c r="D264" s="56"/>
      <c r="E264" s="64"/>
      <c r="F264" s="56"/>
      <c r="G264" s="56"/>
      <c r="H264" s="56"/>
      <c r="I264" s="56"/>
      <c r="J264" s="56"/>
      <c r="P264" s="197"/>
      <c r="Q264" s="238"/>
      <c r="R264" s="436"/>
      <c r="S264" s="436"/>
      <c r="T264" s="215"/>
      <c r="U264" s="197"/>
      <c r="V264" s="207"/>
      <c r="W264" s="189"/>
    </row>
    <row r="265" spans="1:23" ht="13" x14ac:dyDescent="0.15">
      <c r="A265" s="63"/>
      <c r="B265" s="83" t="s">
        <v>88</v>
      </c>
      <c r="C265" s="54"/>
      <c r="D265" s="56"/>
      <c r="E265" s="64"/>
      <c r="F265" s="56"/>
      <c r="G265" s="56"/>
      <c r="H265" s="56"/>
      <c r="I265" s="56"/>
      <c r="J265" s="56"/>
      <c r="P265" s="197"/>
      <c r="Q265" s="238"/>
      <c r="R265" s="436"/>
      <c r="S265" s="436"/>
      <c r="T265" s="215"/>
      <c r="U265" s="197"/>
      <c r="V265" s="207"/>
      <c r="W265" s="189"/>
    </row>
    <row r="266" spans="1:23" thickBot="1" x14ac:dyDescent="0.2">
      <c r="A266" s="63"/>
      <c r="B266" s="63"/>
      <c r="C266" s="54"/>
      <c r="D266" s="56"/>
      <c r="E266" s="64"/>
      <c r="F266" s="56"/>
      <c r="G266" s="56"/>
      <c r="H266" s="56"/>
      <c r="I266" s="56"/>
      <c r="J266" s="56"/>
      <c r="P266" s="197"/>
      <c r="Q266" s="238"/>
      <c r="R266" s="436"/>
      <c r="S266" s="436"/>
      <c r="T266" s="215"/>
      <c r="U266" s="197"/>
      <c r="V266" s="207"/>
      <c r="W266" s="189"/>
    </row>
    <row r="267" spans="1:23" thickBot="1" x14ac:dyDescent="0.2">
      <c r="A267" s="63"/>
      <c r="B267" s="46" t="s">
        <v>89</v>
      </c>
      <c r="C267" s="48"/>
      <c r="D267" s="51"/>
      <c r="E267" s="79"/>
      <c r="F267" s="51"/>
      <c r="G267" s="51"/>
      <c r="H267" s="51"/>
      <c r="I267" s="51"/>
      <c r="J267" s="51"/>
      <c r="K267" s="8"/>
      <c r="L267" s="105">
        <f>+L228</f>
        <v>185401.13</v>
      </c>
      <c r="P267" s="197"/>
      <c r="Q267" s="238"/>
      <c r="R267" s="436"/>
      <c r="S267" s="436"/>
      <c r="T267" s="215"/>
      <c r="U267" s="197"/>
      <c r="V267" s="207"/>
      <c r="W267" s="189"/>
    </row>
    <row r="268" spans="1:23" thickBot="1" x14ac:dyDescent="0.2">
      <c r="A268" s="63"/>
      <c r="B268" s="63"/>
      <c r="C268" s="54"/>
      <c r="D268" s="56"/>
      <c r="E268" s="64"/>
      <c r="F268" s="56"/>
      <c r="G268" s="56"/>
      <c r="H268" s="56"/>
      <c r="I268" s="56"/>
      <c r="J268" s="56"/>
      <c r="L268" s="106"/>
      <c r="P268" s="197"/>
      <c r="Q268" s="238"/>
      <c r="R268" s="436"/>
      <c r="S268" s="436"/>
      <c r="T268" s="215"/>
      <c r="U268" s="197"/>
      <c r="V268" s="207"/>
      <c r="W268" s="189"/>
    </row>
    <row r="269" spans="1:23" thickBot="1" x14ac:dyDescent="0.2">
      <c r="A269" s="63"/>
      <c r="B269" s="46" t="s">
        <v>90</v>
      </c>
      <c r="C269" s="48"/>
      <c r="D269" s="51"/>
      <c r="E269" s="79"/>
      <c r="F269" s="51"/>
      <c r="G269" s="51"/>
      <c r="H269" s="51"/>
      <c r="I269" s="51"/>
      <c r="J269" s="51"/>
      <c r="K269" s="8"/>
      <c r="L269" s="105">
        <v>0</v>
      </c>
      <c r="P269" s="197"/>
      <c r="Q269" s="238"/>
      <c r="R269" s="436"/>
      <c r="S269" s="436"/>
      <c r="T269" s="215"/>
      <c r="U269" s="197"/>
      <c r="V269" s="207"/>
      <c r="W269" s="189"/>
    </row>
    <row r="270" spans="1:23" thickBot="1" x14ac:dyDescent="0.2">
      <c r="A270" s="63"/>
      <c r="B270" s="63"/>
      <c r="C270" s="54"/>
      <c r="D270" s="56"/>
      <c r="E270" s="64"/>
      <c r="F270" s="56"/>
      <c r="G270" s="56"/>
      <c r="H270" s="56"/>
      <c r="I270" s="56"/>
      <c r="J270" s="56"/>
      <c r="L270" s="106"/>
      <c r="P270" s="197"/>
      <c r="Q270" s="238"/>
      <c r="R270" s="436"/>
      <c r="S270" s="436"/>
      <c r="T270" s="215"/>
      <c r="U270" s="197"/>
      <c r="V270" s="207"/>
      <c r="W270" s="189"/>
    </row>
    <row r="271" spans="1:23" thickBot="1" x14ac:dyDescent="0.2">
      <c r="A271" s="63"/>
      <c r="B271" s="46" t="s">
        <v>286</v>
      </c>
      <c r="C271" s="48"/>
      <c r="D271" s="51"/>
      <c r="E271" s="79"/>
      <c r="F271" s="51"/>
      <c r="G271" s="51"/>
      <c r="H271" s="51"/>
      <c r="I271" s="51"/>
      <c r="J271" s="51"/>
      <c r="K271" s="8"/>
      <c r="L271" s="105">
        <f>+L259</f>
        <v>18775.2</v>
      </c>
      <c r="P271" s="197"/>
      <c r="Q271" s="238"/>
      <c r="R271" s="436"/>
      <c r="S271" s="436"/>
      <c r="T271" s="215"/>
      <c r="U271" s="197"/>
      <c r="V271" s="207"/>
      <c r="W271" s="189"/>
    </row>
    <row r="272" spans="1:23" thickBot="1" x14ac:dyDescent="0.2">
      <c r="A272" s="63"/>
      <c r="B272" s="63"/>
      <c r="C272" s="54"/>
      <c r="D272" s="56"/>
      <c r="E272" s="64"/>
      <c r="F272" s="56"/>
      <c r="G272" s="56"/>
      <c r="H272" s="56"/>
      <c r="I272" s="56"/>
      <c r="J272" s="56"/>
      <c r="L272" s="106"/>
      <c r="P272" s="197"/>
      <c r="Q272" s="238"/>
      <c r="R272" s="436"/>
      <c r="S272" s="436"/>
      <c r="T272" s="215"/>
      <c r="U272" s="197"/>
      <c r="V272" s="207"/>
      <c r="W272" s="189"/>
    </row>
    <row r="273" spans="1:23" thickBot="1" x14ac:dyDescent="0.2">
      <c r="A273" s="63"/>
      <c r="B273" s="46" t="s">
        <v>287</v>
      </c>
      <c r="C273" s="48"/>
      <c r="D273" s="51"/>
      <c r="E273" s="79"/>
      <c r="F273" s="51"/>
      <c r="G273" s="51"/>
      <c r="H273" s="51"/>
      <c r="I273" s="51"/>
      <c r="J273" s="51"/>
      <c r="K273" s="8"/>
      <c r="L273" s="105">
        <v>0</v>
      </c>
      <c r="P273" s="197"/>
      <c r="Q273" s="238"/>
      <c r="R273" s="436"/>
      <c r="S273" s="436"/>
      <c r="T273" s="215"/>
      <c r="U273" s="197"/>
      <c r="V273" s="207"/>
      <c r="W273" s="189"/>
    </row>
    <row r="274" spans="1:23" thickBot="1" x14ac:dyDescent="0.2">
      <c r="A274" s="63"/>
      <c r="B274" s="63"/>
      <c r="C274" s="54"/>
      <c r="D274" s="56"/>
      <c r="E274" s="64"/>
      <c r="F274" s="56"/>
      <c r="G274" s="56"/>
      <c r="H274" s="56"/>
      <c r="I274" s="56"/>
      <c r="J274" s="56"/>
      <c r="L274" s="106"/>
      <c r="P274" s="197"/>
      <c r="Q274" s="238"/>
      <c r="R274" s="436"/>
      <c r="S274" s="436"/>
      <c r="T274" s="215"/>
      <c r="U274" s="197"/>
      <c r="V274" s="207"/>
      <c r="W274" s="189"/>
    </row>
    <row r="275" spans="1:23" thickBot="1" x14ac:dyDescent="0.2">
      <c r="A275" s="63"/>
      <c r="B275" s="259" t="s">
        <v>310</v>
      </c>
      <c r="C275" s="260"/>
      <c r="D275" s="261"/>
      <c r="E275" s="260"/>
      <c r="F275" s="261"/>
      <c r="G275" s="261"/>
      <c r="H275" s="261"/>
      <c r="I275" s="261"/>
      <c r="J275" s="261"/>
      <c r="K275" s="262"/>
      <c r="L275" s="263">
        <f>+Stab!L192</f>
        <v>113555.71</v>
      </c>
      <c r="P275" s="197"/>
      <c r="Q275" s="238"/>
      <c r="R275" s="436"/>
      <c r="S275" s="436"/>
      <c r="T275" s="215"/>
      <c r="U275" s="197"/>
      <c r="V275" s="207"/>
      <c r="W275" s="219">
        <f>Stab!V192</f>
        <v>113555.71</v>
      </c>
    </row>
    <row r="276" spans="1:23" thickBot="1" x14ac:dyDescent="0.2">
      <c r="A276" s="63"/>
      <c r="B276" s="63"/>
      <c r="C276" s="54"/>
      <c r="D276" s="56"/>
      <c r="E276" s="64"/>
      <c r="F276" s="56"/>
      <c r="G276" s="56"/>
      <c r="H276" s="56"/>
      <c r="I276" s="56"/>
      <c r="J276" s="56"/>
      <c r="L276" s="106"/>
      <c r="P276" s="197"/>
      <c r="Q276" s="238"/>
      <c r="R276" s="436"/>
      <c r="S276" s="436"/>
      <c r="T276" s="215"/>
      <c r="U276" s="197"/>
      <c r="V276" s="207"/>
      <c r="W276" s="189"/>
    </row>
    <row r="277" spans="1:23" thickBot="1" x14ac:dyDescent="0.2">
      <c r="A277" s="63"/>
      <c r="B277" s="259" t="s">
        <v>426</v>
      </c>
      <c r="C277" s="260"/>
      <c r="D277" s="261"/>
      <c r="E277" s="260"/>
      <c r="F277" s="261"/>
      <c r="G277" s="261"/>
      <c r="H277" s="261"/>
      <c r="I277" s="261"/>
      <c r="J277" s="261"/>
      <c r="K277" s="262"/>
      <c r="L277" s="263">
        <f>+'Toit grange'!L51</f>
        <v>99875.56</v>
      </c>
      <c r="P277" s="197"/>
      <c r="Q277" s="238"/>
      <c r="R277" s="436"/>
      <c r="S277" s="436"/>
      <c r="T277" s="215"/>
      <c r="U277" s="197"/>
      <c r="V277" s="207"/>
      <c r="W277" s="219">
        <f>'Toit grange'!V51</f>
        <v>99390.56</v>
      </c>
    </row>
    <row r="278" spans="1:23" thickBot="1" x14ac:dyDescent="0.2">
      <c r="A278" s="63"/>
      <c r="B278" s="181"/>
      <c r="C278" s="182"/>
      <c r="D278" s="171"/>
      <c r="E278" s="182"/>
      <c r="F278" s="171"/>
      <c r="G278" s="171"/>
      <c r="H278" s="171"/>
      <c r="I278" s="171"/>
      <c r="J278" s="171"/>
      <c r="K278" s="183"/>
      <c r="L278" s="106"/>
      <c r="P278" s="197"/>
      <c r="Q278" s="238"/>
      <c r="R278" s="436"/>
      <c r="S278" s="436"/>
      <c r="T278" s="215"/>
      <c r="U278" s="197"/>
      <c r="V278" s="207"/>
      <c r="W278" s="189"/>
    </row>
    <row r="279" spans="1:23" s="185" customFormat="1" thickBot="1" x14ac:dyDescent="0.2">
      <c r="A279" s="184"/>
      <c r="B279" s="264" t="s">
        <v>503</v>
      </c>
      <c r="C279" s="265"/>
      <c r="D279" s="266"/>
      <c r="E279" s="265"/>
      <c r="F279" s="266"/>
      <c r="G279" s="266"/>
      <c r="H279" s="266"/>
      <c r="I279" s="266"/>
      <c r="J279" s="266"/>
      <c r="K279" s="267"/>
      <c r="L279" s="268">
        <v>16246</v>
      </c>
      <c r="N279" s="270" t="s">
        <v>504</v>
      </c>
      <c r="O279" s="271"/>
      <c r="P279" s="197">
        <v>0.05</v>
      </c>
      <c r="Q279" s="238"/>
      <c r="R279" s="436">
        <v>0.95</v>
      </c>
      <c r="S279" s="436"/>
      <c r="T279" s="215"/>
      <c r="U279" s="197"/>
      <c r="V279" s="207">
        <f t="shared" ref="V279" si="47">SUM(P279:U279)</f>
        <v>1</v>
      </c>
      <c r="W279" s="212">
        <f>V279*L279</f>
        <v>16246</v>
      </c>
    </row>
    <row r="280" spans="1:23" thickBot="1" x14ac:dyDescent="0.2">
      <c r="A280" s="63"/>
      <c r="B280" s="181"/>
      <c r="C280" s="182"/>
      <c r="D280" s="171"/>
      <c r="E280" s="182"/>
      <c r="F280" s="171"/>
      <c r="G280" s="171"/>
      <c r="H280" s="171"/>
      <c r="I280" s="171"/>
      <c r="J280" s="171"/>
      <c r="K280" s="183"/>
      <c r="L280" s="106"/>
      <c r="P280" s="197"/>
      <c r="Q280" s="238"/>
      <c r="R280" s="436"/>
      <c r="S280" s="436"/>
      <c r="T280" s="215"/>
      <c r="U280" s="197"/>
      <c r="V280" s="207"/>
      <c r="W280" s="189"/>
    </row>
    <row r="281" spans="1:23" s="185" customFormat="1" thickBot="1" x14ac:dyDescent="0.2">
      <c r="A281" s="184"/>
      <c r="B281" s="264" t="s">
        <v>506</v>
      </c>
      <c r="C281" s="265"/>
      <c r="D281" s="266"/>
      <c r="E281" s="265"/>
      <c r="F281" s="266"/>
      <c r="G281" s="266"/>
      <c r="H281" s="266"/>
      <c r="I281" s="266"/>
      <c r="J281" s="266"/>
      <c r="K281" s="267"/>
      <c r="L281" s="268">
        <v>0</v>
      </c>
      <c r="N281" s="11"/>
      <c r="O281" s="107"/>
      <c r="P281" s="197"/>
      <c r="Q281" s="238"/>
      <c r="R281" s="436"/>
      <c r="S281" s="436"/>
      <c r="T281" s="215"/>
      <c r="U281" s="197"/>
      <c r="V281" s="210"/>
      <c r="W281" s="193"/>
    </row>
    <row r="282" spans="1:23" thickBot="1" x14ac:dyDescent="0.2">
      <c r="A282" s="63"/>
      <c r="B282" s="181"/>
      <c r="C282" s="182"/>
      <c r="D282" s="171"/>
      <c r="E282" s="182"/>
      <c r="F282" s="171"/>
      <c r="G282" s="171"/>
      <c r="H282" s="171"/>
      <c r="I282" s="171"/>
      <c r="J282" s="171"/>
      <c r="K282" s="183"/>
      <c r="L282" s="106"/>
      <c r="P282" s="197"/>
      <c r="Q282" s="238"/>
      <c r="R282" s="436"/>
      <c r="S282" s="436"/>
      <c r="T282" s="215"/>
      <c r="U282" s="197"/>
      <c r="V282" s="207"/>
      <c r="W282" s="189"/>
    </row>
    <row r="283" spans="1:23" s="185" customFormat="1" thickBot="1" x14ac:dyDescent="0.2">
      <c r="A283" s="184"/>
      <c r="B283" s="463" t="s">
        <v>533</v>
      </c>
      <c r="C283" s="464"/>
      <c r="D283" s="465"/>
      <c r="E283" s="464"/>
      <c r="F283" s="465"/>
      <c r="G283" s="465"/>
      <c r="H283" s="465"/>
      <c r="I283" s="465"/>
      <c r="J283" s="465"/>
      <c r="K283" s="466"/>
      <c r="L283" s="467">
        <f>'Avenant 1'!L17</f>
        <v>7427</v>
      </c>
      <c r="N283" s="11"/>
      <c r="O283" s="107"/>
      <c r="P283" s="197"/>
      <c r="Q283" s="238"/>
      <c r="R283" s="436"/>
      <c r="S283" s="436"/>
      <c r="T283" s="215"/>
      <c r="U283" s="197"/>
      <c r="V283" s="210"/>
      <c r="W283" s="462">
        <f>+'Avenant 1'!W17</f>
        <v>7427</v>
      </c>
    </row>
    <row r="284" spans="1:23" thickBot="1" x14ac:dyDescent="0.2">
      <c r="A284" s="63"/>
      <c r="B284" s="181"/>
      <c r="C284" s="182"/>
      <c r="D284" s="171"/>
      <c r="E284" s="182"/>
      <c r="F284" s="171"/>
      <c r="G284" s="171"/>
      <c r="H284" s="171"/>
      <c r="I284" s="171"/>
      <c r="J284" s="171"/>
      <c r="K284" s="183"/>
      <c r="L284" s="106"/>
      <c r="P284" s="197"/>
      <c r="Q284" s="238"/>
      <c r="R284" s="436"/>
      <c r="S284" s="436"/>
      <c r="T284" s="215"/>
      <c r="U284" s="197"/>
      <c r="V284" s="207"/>
      <c r="W284" s="189"/>
    </row>
    <row r="285" spans="1:23" s="185" customFormat="1" thickBot="1" x14ac:dyDescent="0.2">
      <c r="A285" s="184"/>
      <c r="B285" s="264" t="s">
        <v>547</v>
      </c>
      <c r="C285" s="265"/>
      <c r="D285" s="266"/>
      <c r="E285" s="265"/>
      <c r="F285" s="266"/>
      <c r="G285" s="266"/>
      <c r="H285" s="266"/>
      <c r="I285" s="266"/>
      <c r="J285" s="266"/>
      <c r="K285" s="267"/>
      <c r="L285" s="268">
        <f>+'Avenant 2'!J28</f>
        <v>6019.36</v>
      </c>
      <c r="N285" s="11"/>
      <c r="O285" s="107"/>
      <c r="P285" s="238"/>
      <c r="Q285" s="238"/>
      <c r="R285" s="436"/>
      <c r="S285" s="436"/>
      <c r="T285" s="435"/>
      <c r="U285" s="238"/>
      <c r="V285" s="315"/>
      <c r="W285" s="237">
        <f>+'Avenant 2'!T28</f>
        <v>6019.36</v>
      </c>
    </row>
    <row r="286" spans="1:23" thickBot="1" x14ac:dyDescent="0.2">
      <c r="A286" s="63"/>
      <c r="B286" s="181"/>
      <c r="C286" s="182"/>
      <c r="D286" s="171"/>
      <c r="E286" s="182"/>
      <c r="F286" s="171"/>
      <c r="G286" s="171"/>
      <c r="H286" s="171"/>
      <c r="I286" s="171"/>
      <c r="J286" s="171"/>
      <c r="K286" s="183"/>
      <c r="L286" s="106"/>
      <c r="P286" s="197"/>
      <c r="Q286" s="238"/>
      <c r="R286" s="436"/>
      <c r="S286" s="436"/>
      <c r="T286" s="215"/>
      <c r="U286" s="197"/>
      <c r="V286" s="207"/>
      <c r="W286" s="189"/>
    </row>
    <row r="287" spans="1:23" s="185" customFormat="1" thickBot="1" x14ac:dyDescent="0.2">
      <c r="A287" s="184"/>
      <c r="B287" s="280" t="s">
        <v>572</v>
      </c>
      <c r="C287" s="281"/>
      <c r="D287" s="282"/>
      <c r="E287" s="281"/>
      <c r="F287" s="282"/>
      <c r="G287" s="282"/>
      <c r="H287" s="282"/>
      <c r="I287" s="282"/>
      <c r="J287" s="282"/>
      <c r="K287" s="283"/>
      <c r="L287" s="284">
        <f>+'Avenant 3'!J142</f>
        <v>-5027.37</v>
      </c>
      <c r="N287" s="11"/>
      <c r="O287" s="107"/>
      <c r="P287" s="197"/>
      <c r="Q287" s="238"/>
      <c r="R287" s="436"/>
      <c r="S287" s="436"/>
      <c r="T287" s="215"/>
      <c r="U287" s="197"/>
      <c r="V287" s="210"/>
      <c r="W287" s="279">
        <f>+'Avenant 3'!T142</f>
        <v>-5027.37</v>
      </c>
    </row>
    <row r="288" spans="1:23" thickBot="1" x14ac:dyDescent="0.2">
      <c r="A288" s="63"/>
      <c r="B288" s="181"/>
      <c r="C288" s="182"/>
      <c r="D288" s="171"/>
      <c r="E288" s="182"/>
      <c r="F288" s="171"/>
      <c r="G288" s="171"/>
      <c r="H288" s="171"/>
      <c r="I288" s="171"/>
      <c r="J288" s="171"/>
      <c r="K288" s="183"/>
      <c r="L288" s="106"/>
      <c r="P288" s="197"/>
      <c r="Q288" s="238"/>
      <c r="R288" s="436"/>
      <c r="S288" s="436"/>
      <c r="T288" s="215"/>
      <c r="U288" s="197"/>
      <c r="V288" s="207"/>
      <c r="W288" s="189"/>
    </row>
    <row r="289" spans="1:23" s="185" customFormat="1" thickBot="1" x14ac:dyDescent="0.2">
      <c r="A289" s="184"/>
      <c r="B289" s="264" t="s">
        <v>733</v>
      </c>
      <c r="C289" s="265"/>
      <c r="D289" s="266"/>
      <c r="E289" s="265"/>
      <c r="F289" s="266"/>
      <c r="G289" s="266"/>
      <c r="H289" s="266"/>
      <c r="I289" s="266"/>
      <c r="J289" s="266"/>
      <c r="K289" s="267"/>
      <c r="L289" s="268">
        <f>+'Avenant 4'!J36</f>
        <v>9974.07</v>
      </c>
      <c r="N289" s="11"/>
      <c r="O289" s="107"/>
      <c r="P289" s="238"/>
      <c r="Q289" s="238"/>
      <c r="R289" s="436"/>
      <c r="S289" s="436"/>
      <c r="T289" s="435"/>
      <c r="U289" s="238"/>
      <c r="V289" s="315"/>
      <c r="W289" s="237">
        <f>+'Avenant 4'!T36</f>
        <v>9974.07</v>
      </c>
    </row>
    <row r="290" spans="1:23" thickBot="1" x14ac:dyDescent="0.2">
      <c r="A290" s="63"/>
      <c r="B290" s="181"/>
      <c r="C290" s="182"/>
      <c r="D290" s="171"/>
      <c r="E290" s="182"/>
      <c r="F290" s="171"/>
      <c r="G290" s="171"/>
      <c r="H290" s="171"/>
      <c r="I290" s="171"/>
      <c r="J290" s="171"/>
      <c r="K290" s="183"/>
      <c r="L290" s="106"/>
      <c r="P290" s="197"/>
      <c r="Q290" s="238"/>
      <c r="R290" s="436"/>
      <c r="S290" s="436"/>
      <c r="T290" s="215"/>
      <c r="U290" s="197"/>
      <c r="V290" s="207"/>
      <c r="W290" s="189"/>
    </row>
    <row r="291" spans="1:23" s="185" customFormat="1" thickBot="1" x14ac:dyDescent="0.2">
      <c r="A291" s="184"/>
      <c r="B291" s="264" t="s">
        <v>734</v>
      </c>
      <c r="C291" s="265"/>
      <c r="D291" s="266"/>
      <c r="E291" s="265"/>
      <c r="F291" s="266"/>
      <c r="G291" s="266"/>
      <c r="H291" s="266"/>
      <c r="I291" s="266"/>
      <c r="J291" s="266"/>
      <c r="K291" s="267"/>
      <c r="L291" s="268">
        <f>+'Avenant 5'!J64</f>
        <v>0</v>
      </c>
      <c r="N291" s="11"/>
      <c r="O291" s="107"/>
      <c r="P291" s="238"/>
      <c r="Q291" s="238"/>
      <c r="R291" s="436"/>
      <c r="S291" s="436"/>
      <c r="T291" s="435"/>
      <c r="U291" s="238"/>
      <c r="V291" s="315"/>
      <c r="W291" s="237">
        <f>+'Avenant 5'!T64</f>
        <v>0</v>
      </c>
    </row>
    <row r="292" spans="1:23" s="185" customFormat="1" thickBot="1" x14ac:dyDescent="0.2">
      <c r="A292" s="184"/>
      <c r="B292" s="557"/>
      <c r="C292" s="558"/>
      <c r="D292" s="559"/>
      <c r="E292" s="558"/>
      <c r="F292" s="559"/>
      <c r="G292" s="559"/>
      <c r="H292" s="559"/>
      <c r="I292" s="559"/>
      <c r="J292" s="559"/>
      <c r="K292" s="560"/>
      <c r="L292" s="561"/>
      <c r="N292" s="11"/>
      <c r="O292" s="107"/>
      <c r="P292" s="238"/>
      <c r="Q292" s="238"/>
      <c r="R292" s="436"/>
      <c r="S292" s="436"/>
      <c r="T292" s="435"/>
      <c r="U292" s="238"/>
      <c r="V292" s="315"/>
      <c r="W292" s="237"/>
    </row>
    <row r="293" spans="1:23" s="185" customFormat="1" thickBot="1" x14ac:dyDescent="0.2">
      <c r="A293" s="184"/>
      <c r="B293" s="562" t="s">
        <v>846</v>
      </c>
      <c r="C293" s="563"/>
      <c r="D293" s="564"/>
      <c r="E293" s="563"/>
      <c r="F293" s="564"/>
      <c r="G293" s="564"/>
      <c r="H293" s="564"/>
      <c r="I293" s="564"/>
      <c r="J293" s="564"/>
      <c r="K293" s="565"/>
      <c r="L293" s="566">
        <f>+'Avenant 6'!J166</f>
        <v>-4577.3500000000004</v>
      </c>
      <c r="N293" s="11"/>
      <c r="O293" s="107"/>
      <c r="P293" s="238"/>
      <c r="Q293" s="238"/>
      <c r="R293" s="436"/>
      <c r="S293" s="436"/>
      <c r="T293" s="435"/>
      <c r="U293" s="238"/>
      <c r="V293" s="315"/>
      <c r="W293" s="567">
        <f>+'Avenant 6'!T166</f>
        <v>-15196.27</v>
      </c>
    </row>
    <row r="294" spans="1:23" s="185" customFormat="1" ht="13" x14ac:dyDescent="0.15">
      <c r="A294" s="184"/>
      <c r="B294" s="557"/>
      <c r="C294" s="558"/>
      <c r="D294" s="559"/>
      <c r="E294" s="558"/>
      <c r="F294" s="559"/>
      <c r="G294" s="559"/>
      <c r="H294" s="559"/>
      <c r="I294" s="559"/>
      <c r="J294" s="559"/>
      <c r="K294" s="560"/>
      <c r="L294" s="561"/>
      <c r="N294" s="11"/>
      <c r="O294" s="107"/>
      <c r="P294" s="238"/>
      <c r="Q294" s="238"/>
      <c r="R294" s="436"/>
      <c r="S294" s="436"/>
      <c r="T294" s="435"/>
      <c r="U294" s="238"/>
      <c r="V294" s="315"/>
      <c r="W294" s="237"/>
    </row>
    <row r="295" spans="1:23" thickBot="1" x14ac:dyDescent="0.2">
      <c r="A295" s="63"/>
      <c r="B295" s="181"/>
      <c r="C295" s="182"/>
      <c r="D295" s="171"/>
      <c r="E295" s="182"/>
      <c r="F295" s="171"/>
      <c r="G295" s="171"/>
      <c r="H295" s="171"/>
      <c r="I295" s="171"/>
      <c r="J295" s="171"/>
      <c r="K295" s="183"/>
      <c r="L295" s="106"/>
      <c r="P295" s="197"/>
      <c r="Q295" s="238"/>
      <c r="R295" s="436"/>
      <c r="S295" s="436"/>
      <c r="T295" s="215"/>
      <c r="U295" s="197"/>
      <c r="V295" s="207"/>
      <c r="W295" s="189"/>
    </row>
    <row r="296" spans="1:23" s="134" customFormat="1" thickBot="1" x14ac:dyDescent="0.2">
      <c r="A296" s="129"/>
      <c r="B296" s="130" t="s">
        <v>91</v>
      </c>
      <c r="C296" s="131"/>
      <c r="D296" s="132"/>
      <c r="E296" s="131"/>
      <c r="F296" s="132"/>
      <c r="G296" s="132"/>
      <c r="H296" s="132"/>
      <c r="I296" s="132"/>
      <c r="J296" s="132"/>
      <c r="K296" s="133"/>
      <c r="L296" s="89">
        <f>SUM(L267:L295)</f>
        <v>447669.31</v>
      </c>
      <c r="N296" s="11"/>
      <c r="O296" s="107"/>
      <c r="P296" s="197"/>
      <c r="Q296" s="238"/>
      <c r="R296" s="436"/>
      <c r="S296" s="436"/>
      <c r="T296" s="215"/>
      <c r="U296" s="197"/>
      <c r="V296" s="207"/>
      <c r="W296" s="189"/>
    </row>
    <row r="297" spans="1:23" thickBot="1" x14ac:dyDescent="0.2">
      <c r="A297" s="63"/>
      <c r="B297" s="63"/>
      <c r="C297" s="54"/>
      <c r="D297" s="56"/>
      <c r="E297" s="64"/>
      <c r="F297" s="56"/>
      <c r="G297" s="56"/>
      <c r="H297" s="56"/>
      <c r="I297" s="56"/>
      <c r="J297" s="56"/>
      <c r="L297" s="106"/>
      <c r="P297" s="197"/>
      <c r="Q297" s="238"/>
      <c r="R297" s="436"/>
      <c r="S297" s="436"/>
      <c r="T297" s="215"/>
      <c r="U297" s="197"/>
      <c r="V297" s="207"/>
      <c r="W297" s="189"/>
    </row>
    <row r="298" spans="1:23" s="134" customFormat="1" thickBot="1" x14ac:dyDescent="0.2">
      <c r="A298" s="129"/>
      <c r="B298" s="130" t="s">
        <v>464</v>
      </c>
      <c r="C298" s="131"/>
      <c r="D298" s="132"/>
      <c r="E298" s="131"/>
      <c r="F298" s="132"/>
      <c r="G298" s="132"/>
      <c r="H298" s="132"/>
      <c r="I298" s="132"/>
      <c r="J298" s="269">
        <f>SUM(L267:L277)+L281+L283+L285+L287+L289+L291+L293</f>
        <v>431423.31</v>
      </c>
      <c r="K298" s="133"/>
      <c r="L298" s="89">
        <f>-2%*J298</f>
        <v>-8628.4699999999993</v>
      </c>
      <c r="N298" s="11"/>
      <c r="O298" s="107"/>
      <c r="P298" s="197"/>
      <c r="Q298" s="238"/>
      <c r="R298" s="436"/>
      <c r="S298" s="436"/>
      <c r="T298" s="215"/>
      <c r="U298" s="197"/>
      <c r="V298" s="207"/>
      <c r="W298" s="189"/>
    </row>
    <row r="299" spans="1:23" thickBot="1" x14ac:dyDescent="0.2">
      <c r="A299" s="63"/>
      <c r="B299" s="63"/>
      <c r="C299" s="54"/>
      <c r="D299" s="56"/>
      <c r="E299" s="64"/>
      <c r="F299" s="56"/>
      <c r="G299" s="56"/>
      <c r="H299" s="56"/>
      <c r="I299" s="56"/>
      <c r="J299" s="56"/>
      <c r="L299" s="106"/>
      <c r="P299" s="197"/>
      <c r="Q299" s="435"/>
      <c r="R299" s="436"/>
      <c r="S299" s="436"/>
      <c r="T299" s="215"/>
      <c r="U299" s="197"/>
      <c r="V299" s="207"/>
      <c r="W299" s="189"/>
    </row>
    <row r="300" spans="1:23" s="134" customFormat="1" thickBot="1" x14ac:dyDescent="0.2">
      <c r="A300" s="129"/>
      <c r="B300" s="130" t="s">
        <v>452</v>
      </c>
      <c r="C300" s="131"/>
      <c r="D300" s="132"/>
      <c r="E300" s="131"/>
      <c r="F300" s="132"/>
      <c r="G300" s="132"/>
      <c r="H300" s="132"/>
      <c r="I300" s="132"/>
      <c r="J300" s="132"/>
      <c r="K300" s="133"/>
      <c r="L300" s="89">
        <f>SUM(L296:L298)</f>
        <v>439040.84</v>
      </c>
      <c r="N300" s="11"/>
      <c r="O300" s="107"/>
      <c r="P300" s="202"/>
      <c r="Q300" s="440"/>
      <c r="R300" s="441"/>
      <c r="S300" s="441"/>
      <c r="T300" s="491"/>
      <c r="U300" s="202"/>
      <c r="V300" s="211"/>
      <c r="W300" s="194"/>
    </row>
    <row r="301" spans="1:23" ht="13" x14ac:dyDescent="0.15">
      <c r="A301" s="63"/>
      <c r="B301" s="63"/>
      <c r="C301" s="54"/>
      <c r="D301" s="56"/>
      <c r="E301" s="64"/>
      <c r="F301" s="56"/>
      <c r="G301" s="56"/>
      <c r="H301" s="56"/>
      <c r="I301" s="56"/>
      <c r="J301" s="56"/>
      <c r="L301" s="106"/>
      <c r="P301" s="221"/>
      <c r="Q301" s="220"/>
      <c r="R301" s="387"/>
      <c r="S301" s="387"/>
      <c r="T301" s="220"/>
      <c r="U301" s="221"/>
      <c r="V301" s="222"/>
    </row>
    <row r="302" spans="1:23" thickBot="1" x14ac:dyDescent="0.2">
      <c r="A302" s="63"/>
      <c r="B302" s="63"/>
      <c r="C302" s="54"/>
      <c r="D302" s="56"/>
      <c r="E302" s="64"/>
      <c r="F302" s="56"/>
      <c r="G302" s="56"/>
      <c r="H302" s="56"/>
      <c r="I302" s="56"/>
      <c r="J302" s="56"/>
      <c r="L302" s="106"/>
      <c r="P302" s="221"/>
      <c r="Q302" s="220"/>
      <c r="R302" s="387"/>
      <c r="S302" s="387"/>
      <c r="T302" s="220"/>
      <c r="U302" s="221"/>
      <c r="V302" s="222"/>
    </row>
    <row r="303" spans="1:23" ht="17" thickBot="1" x14ac:dyDescent="0.2">
      <c r="A303" s="63"/>
      <c r="B303" s="46" t="s">
        <v>101</v>
      </c>
      <c r="C303" s="48"/>
      <c r="D303" s="51"/>
      <c r="E303" s="79"/>
      <c r="F303" s="51"/>
      <c r="G303" s="51"/>
      <c r="H303" s="51"/>
      <c r="I303" s="51"/>
      <c r="J303" s="51"/>
      <c r="K303" s="8"/>
      <c r="L303" s="105">
        <f>SUM(L296*0.06)</f>
        <v>26860.16</v>
      </c>
      <c r="P303" s="232" t="s">
        <v>517</v>
      </c>
      <c r="V303" s="223"/>
      <c r="W303" s="224">
        <f>SUM(W20:W300)</f>
        <v>426769.19</v>
      </c>
    </row>
    <row r="304" spans="1:23" thickBot="1" x14ac:dyDescent="0.2">
      <c r="A304" s="63"/>
      <c r="B304" s="63"/>
      <c r="C304" s="54"/>
      <c r="D304" s="56"/>
      <c r="E304" s="64"/>
      <c r="F304" s="56"/>
      <c r="G304" s="56"/>
      <c r="H304" s="56"/>
      <c r="I304" s="56"/>
      <c r="J304" s="56"/>
      <c r="L304" s="106"/>
    </row>
    <row r="305" spans="1:23" thickBot="1" x14ac:dyDescent="0.2">
      <c r="A305" s="63"/>
      <c r="B305" s="46" t="s">
        <v>102</v>
      </c>
      <c r="C305" s="48"/>
      <c r="D305" s="51"/>
      <c r="E305" s="79"/>
      <c r="F305" s="51"/>
      <c r="G305" s="51"/>
      <c r="H305" s="51"/>
      <c r="I305" s="51"/>
      <c r="J305" s="51"/>
      <c r="K305" s="8"/>
      <c r="L305" s="105">
        <f>SUM(L300:L303)</f>
        <v>465901</v>
      </c>
      <c r="P305" s="231" t="s">
        <v>518</v>
      </c>
      <c r="V305" s="223"/>
      <c r="W305" s="225">
        <f>SUM(W307:W312)</f>
        <v>293844.56</v>
      </c>
    </row>
    <row r="306" spans="1:23" ht="13" x14ac:dyDescent="0.15">
      <c r="A306" s="63"/>
      <c r="B306" s="63"/>
      <c r="C306" s="54"/>
      <c r="D306" s="56"/>
      <c r="E306" s="64"/>
      <c r="F306" s="56"/>
      <c r="G306" s="56"/>
      <c r="H306" s="56"/>
      <c r="I306" s="56"/>
      <c r="J306" s="56"/>
      <c r="W306" s="226"/>
    </row>
    <row r="307" spans="1:23" ht="13" x14ac:dyDescent="0.15">
      <c r="A307" s="63"/>
      <c r="B307" s="63"/>
      <c r="C307" s="54"/>
      <c r="D307" s="56"/>
      <c r="E307" s="64"/>
      <c r="F307" s="56"/>
      <c r="G307" s="56"/>
      <c r="H307" s="56"/>
      <c r="I307" s="56"/>
      <c r="J307" s="56"/>
      <c r="P307" s="373" t="s">
        <v>686</v>
      </c>
      <c r="W307" s="226">
        <v>21346.46</v>
      </c>
    </row>
    <row r="308" spans="1:23" ht="14" customHeight="1" x14ac:dyDescent="0.15">
      <c r="A308" s="30"/>
      <c r="P308" s="373" t="s">
        <v>687</v>
      </c>
      <c r="W308" s="226">
        <v>93755.65</v>
      </c>
    </row>
    <row r="309" spans="1:23" ht="14" customHeight="1" x14ac:dyDescent="0.15">
      <c r="A309" s="30"/>
      <c r="P309" s="373" t="s">
        <v>688</v>
      </c>
      <c r="W309" s="226">
        <v>107728.08</v>
      </c>
    </row>
    <row r="310" spans="1:23" ht="14" customHeight="1" x14ac:dyDescent="0.15">
      <c r="A310" s="30"/>
      <c r="P310" s="373" t="s">
        <v>735</v>
      </c>
      <c r="W310" s="226">
        <v>71014.37</v>
      </c>
    </row>
    <row r="311" spans="1:23" ht="14" customHeight="1" x14ac:dyDescent="0.15">
      <c r="A311" s="30"/>
      <c r="P311" s="231" t="s">
        <v>520</v>
      </c>
      <c r="W311" s="226">
        <v>0</v>
      </c>
    </row>
    <row r="312" spans="1:23" ht="14" customHeight="1" x14ac:dyDescent="0.15">
      <c r="A312" s="30"/>
      <c r="P312" s="231" t="s">
        <v>519</v>
      </c>
      <c r="W312" s="226">
        <v>0</v>
      </c>
    </row>
    <row r="313" spans="1:23" ht="14" customHeight="1" thickBot="1" x14ac:dyDescent="0.2">
      <c r="A313" s="30"/>
      <c r="W313" s="226"/>
    </row>
    <row r="314" spans="1:23" ht="14" customHeight="1" thickBot="1" x14ac:dyDescent="0.2">
      <c r="A314" s="30"/>
      <c r="P314" s="233" t="s">
        <v>521</v>
      </c>
      <c r="V314" s="223"/>
      <c r="W314" s="227">
        <f>W303-W305</f>
        <v>132924.63</v>
      </c>
    </row>
  </sheetData>
  <phoneticPr fontId="14" type="noConversion"/>
  <conditionalFormatting sqref="A14:A18 N248:N257 N3:N18 N234:N235 N237:N238 N241:N243 N116">
    <cfRule type="cellIs" dxfId="376" priority="914" stopIfTrue="1" operator="equal">
      <formula>2</formula>
    </cfRule>
  </conditionalFormatting>
  <conditionalFormatting sqref="A17:A18">
    <cfRule type="cellIs" dxfId="375" priority="916" stopIfTrue="1" operator="equal">
      <formula>3</formula>
    </cfRule>
    <cfRule type="cellIs" dxfId="374" priority="915" stopIfTrue="1" operator="equal">
      <formula>1</formula>
    </cfRule>
  </conditionalFormatting>
  <conditionalFormatting sqref="A241:A242 C241:D242 A247:A251 A256:C257">
    <cfRule type="expression" dxfId="373" priority="685" stopIfTrue="1">
      <formula>NA()</formula>
    </cfRule>
  </conditionalFormatting>
  <conditionalFormatting sqref="A256:C257 E252:H257">
    <cfRule type="expression" dxfId="372" priority="905" stopIfTrue="1">
      <formula>$A252=1</formula>
    </cfRule>
  </conditionalFormatting>
  <conditionalFormatting sqref="A245:H245">
    <cfRule type="expression" dxfId="371" priority="513" stopIfTrue="1">
      <formula>NA()</formula>
    </cfRule>
  </conditionalFormatting>
  <conditionalFormatting sqref="A237:I237 C252:C255 A245:A255 D243:L243">
    <cfRule type="expression" dxfId="370" priority="730" stopIfTrue="1">
      <formula>$A237=1</formula>
    </cfRule>
  </conditionalFormatting>
  <conditionalFormatting sqref="A237:I237 D243:L243 A252:A255 C252:C255">
    <cfRule type="expression" dxfId="369" priority="731" stopIfTrue="1">
      <formula>NA()</formula>
    </cfRule>
  </conditionalFormatting>
  <conditionalFormatting sqref="B241:B242">
    <cfRule type="expression" dxfId="368" priority="904" stopIfTrue="1">
      <formula>$B241=1</formula>
    </cfRule>
  </conditionalFormatting>
  <conditionalFormatting sqref="B245">
    <cfRule type="expression" dxfId="367" priority="721" stopIfTrue="1">
      <formula>NA()</formula>
    </cfRule>
    <cfRule type="expression" dxfId="366" priority="720" stopIfTrue="1">
      <formula>NA()</formula>
    </cfRule>
    <cfRule type="expression" dxfId="365" priority="719" stopIfTrue="1">
      <formula>$A245=1</formula>
    </cfRule>
  </conditionalFormatting>
  <conditionalFormatting sqref="B246">
    <cfRule type="expression" dxfId="364" priority="935" stopIfTrue="1">
      <formula>$A250=1</formula>
    </cfRule>
    <cfRule type="expression" dxfId="363" priority="936" stopIfTrue="1">
      <formula>NA()</formula>
    </cfRule>
    <cfRule type="expression" dxfId="362" priority="937" stopIfTrue="1">
      <formula>NA()</formula>
    </cfRule>
  </conditionalFormatting>
  <conditionalFormatting sqref="B247">
    <cfRule type="expression" dxfId="361" priority="943" stopIfTrue="1">
      <formula>$A251=1</formula>
    </cfRule>
  </conditionalFormatting>
  <conditionalFormatting sqref="B248">
    <cfRule type="expression" dxfId="360" priority="949" stopIfTrue="1">
      <formula>$A251=1</formula>
    </cfRule>
  </conditionalFormatting>
  <conditionalFormatting sqref="B248:B249">
    <cfRule type="expression" dxfId="359" priority="1019" stopIfTrue="1">
      <formula>#REF!=1</formula>
    </cfRule>
  </conditionalFormatting>
  <conditionalFormatting sqref="B249:B250">
    <cfRule type="expression" dxfId="358" priority="1022" stopIfTrue="1">
      <formula>#REF!=1</formula>
    </cfRule>
  </conditionalFormatting>
  <conditionalFormatting sqref="B250">
    <cfRule type="expression" dxfId="357" priority="1018" stopIfTrue="1">
      <formula>$A252=1</formula>
    </cfRule>
  </conditionalFormatting>
  <conditionalFormatting sqref="B251:B255">
    <cfRule type="expression" dxfId="356" priority="640" stopIfTrue="1">
      <formula>NA()</formula>
    </cfRule>
    <cfRule type="expression" dxfId="355" priority="639" stopIfTrue="1">
      <formula>$A251=1</formula>
    </cfRule>
    <cfRule type="expression" dxfId="354" priority="638" stopIfTrue="1">
      <formula>NA()</formula>
    </cfRule>
  </conditionalFormatting>
  <conditionalFormatting sqref="B235:C235">
    <cfRule type="expression" dxfId="353" priority="703" stopIfTrue="1">
      <formula>NA()</formula>
    </cfRule>
    <cfRule type="expression" dxfId="352" priority="702" stopIfTrue="1">
      <formula>NA()</formula>
    </cfRule>
    <cfRule type="expression" dxfId="351" priority="701" stopIfTrue="1">
      <formula>$A235=1</formula>
    </cfRule>
  </conditionalFormatting>
  <conditionalFormatting sqref="B239:C239">
    <cfRule type="expression" dxfId="350" priority="675" stopIfTrue="1">
      <formula>NA()</formula>
    </cfRule>
    <cfRule type="expression" dxfId="349" priority="673" stopIfTrue="1">
      <formula>$A239=1</formula>
    </cfRule>
    <cfRule type="expression" dxfId="348" priority="674" stopIfTrue="1">
      <formula>NA()</formula>
    </cfRule>
  </conditionalFormatting>
  <conditionalFormatting sqref="B243:C243">
    <cfRule type="expression" dxfId="347" priority="481" stopIfTrue="1">
      <formula>NA()</formula>
    </cfRule>
    <cfRule type="expression" dxfId="346" priority="480" stopIfTrue="1">
      <formula>NA()</formula>
    </cfRule>
    <cfRule type="expression" dxfId="345" priority="479" stopIfTrue="1">
      <formula>$A243=1</formula>
    </cfRule>
  </conditionalFormatting>
  <conditionalFormatting sqref="B247:C247 B248:D250">
    <cfRule type="expression" dxfId="344" priority="661" stopIfTrue="1">
      <formula>NA()</formula>
    </cfRule>
  </conditionalFormatting>
  <conditionalFormatting sqref="B247:C257 B245:C245 B237:C237">
    <cfRule type="expression" dxfId="343" priority="711" stopIfTrue="1">
      <formula>NA()</formula>
    </cfRule>
  </conditionalFormatting>
  <conditionalFormatting sqref="C241:C242">
    <cfRule type="expression" dxfId="342" priority="683" stopIfTrue="1">
      <formula>NA()</formula>
    </cfRule>
  </conditionalFormatting>
  <conditionalFormatting sqref="C245:C246">
    <cfRule type="expression" dxfId="341" priority="511" stopIfTrue="1">
      <formula>NA()</formula>
    </cfRule>
  </conditionalFormatting>
  <conditionalFormatting sqref="C241:D242 A241:A242">
    <cfRule type="expression" dxfId="340" priority="684" stopIfTrue="1">
      <formula>$A241=1</formula>
    </cfRule>
  </conditionalFormatting>
  <conditionalFormatting sqref="C245:D246 C247 C248:D250">
    <cfRule type="expression" dxfId="339" priority="759" stopIfTrue="1">
      <formula>$A245=1</formula>
    </cfRule>
  </conditionalFormatting>
  <conditionalFormatting sqref="C246:D246 A246">
    <cfRule type="expression" dxfId="338" priority="906" stopIfTrue="1">
      <formula>NA()</formula>
    </cfRule>
  </conditionalFormatting>
  <conditionalFormatting sqref="C251:D251">
    <cfRule type="expression" dxfId="337" priority="637" stopIfTrue="1">
      <formula>NA()</formula>
    </cfRule>
    <cfRule type="expression" dxfId="336" priority="636" stopIfTrue="1">
      <formula>$A251=1</formula>
    </cfRule>
  </conditionalFormatting>
  <conditionalFormatting sqref="D235:L235">
    <cfRule type="expression" dxfId="335" priority="704" stopIfTrue="1">
      <formula>$A235=1</formula>
    </cfRule>
    <cfRule type="expression" dxfId="334" priority="705" stopIfTrue="1">
      <formula>NA()</formula>
    </cfRule>
  </conditionalFormatting>
  <conditionalFormatting sqref="D239:L239">
    <cfRule type="expression" dxfId="333" priority="676" stopIfTrue="1">
      <formula>$A239=1</formula>
    </cfRule>
    <cfRule type="expression" dxfId="332" priority="677" stopIfTrue="1">
      <formula>NA()</formula>
    </cfRule>
  </conditionalFormatting>
  <conditionalFormatting sqref="E241:H242">
    <cfRule type="expression" dxfId="331" priority="668" stopIfTrue="1">
      <formula>NA()</formula>
    </cfRule>
    <cfRule type="expression" dxfId="330" priority="667" stopIfTrue="1">
      <formula>$A241=1</formula>
    </cfRule>
  </conditionalFormatting>
  <conditionalFormatting sqref="E245:H245">
    <cfRule type="expression" dxfId="329" priority="1014" stopIfTrue="1">
      <formula>NA()</formula>
    </cfRule>
    <cfRule type="expression" dxfId="328" priority="1013" stopIfTrue="1">
      <formula>#REF!=1</formula>
    </cfRule>
  </conditionalFormatting>
  <conditionalFormatting sqref="E246:H251">
    <cfRule type="expression" dxfId="327" priority="665" stopIfTrue="1">
      <formula>$A246=1</formula>
    </cfRule>
  </conditionalFormatting>
  <conditionalFormatting sqref="E246:H257">
    <cfRule type="expression" dxfId="326" priority="666" stopIfTrue="1">
      <formula>NA()</formula>
    </cfRule>
  </conditionalFormatting>
  <conditionalFormatting sqref="N3:N18 N234:N235 N241:N243 N248:N257 N237:N238">
    <cfRule type="cellIs" dxfId="325" priority="912" stopIfTrue="1" operator="equal">
      <formula>3</formula>
    </cfRule>
  </conditionalFormatting>
  <conditionalFormatting sqref="N57 N108 N110:N112">
    <cfRule type="cellIs" dxfId="324" priority="118" stopIfTrue="1" operator="equal">
      <formula>2</formula>
    </cfRule>
    <cfRule type="cellIs" dxfId="323" priority="117" stopIfTrue="1" operator="equal">
      <formula>1</formula>
    </cfRule>
  </conditionalFormatting>
  <conditionalFormatting sqref="N116">
    <cfRule type="cellIs" dxfId="322" priority="10" stopIfTrue="1" operator="equal">
      <formula>1</formula>
    </cfRule>
  </conditionalFormatting>
  <conditionalFormatting sqref="N118">
    <cfRule type="cellIs" dxfId="321" priority="107" stopIfTrue="1" operator="equal">
      <formula>1</formula>
    </cfRule>
    <cfRule type="cellIs" dxfId="320" priority="108" stopIfTrue="1" operator="equal">
      <formula>2</formula>
    </cfRule>
  </conditionalFormatting>
  <conditionalFormatting sqref="N137">
    <cfRule type="cellIs" dxfId="319" priority="6" stopIfTrue="1" operator="equal">
      <formula>1</formula>
    </cfRule>
    <cfRule type="cellIs" dxfId="318" priority="7" stopIfTrue="1" operator="equal">
      <formula>3</formula>
    </cfRule>
    <cfRule type="cellIs" dxfId="317" priority="8" stopIfTrue="1" operator="equal">
      <formula>1</formula>
    </cfRule>
    <cfRule type="cellIs" dxfId="316" priority="9" stopIfTrue="1" operator="equal">
      <formula>2</formula>
    </cfRule>
  </conditionalFormatting>
  <conditionalFormatting sqref="N139">
    <cfRule type="cellIs" dxfId="315" priority="4" stopIfTrue="1" operator="equal">
      <formula>1</formula>
    </cfRule>
    <cfRule type="cellIs" dxfId="314" priority="5" stopIfTrue="1" operator="equal">
      <formula>2</formula>
    </cfRule>
  </conditionalFormatting>
  <conditionalFormatting sqref="N151">
    <cfRule type="cellIs" dxfId="313" priority="21" stopIfTrue="1" operator="equal">
      <formula>2</formula>
    </cfRule>
    <cfRule type="cellIs" dxfId="312" priority="20" stopIfTrue="1" operator="equal">
      <formula>1</formula>
    </cfRule>
  </conditionalFormatting>
  <conditionalFormatting sqref="N158">
    <cfRule type="cellIs" dxfId="311" priority="106" stopIfTrue="1" operator="equal">
      <formula>2</formula>
    </cfRule>
    <cfRule type="cellIs" dxfId="310" priority="105" stopIfTrue="1" operator="equal">
      <formula>1</formula>
    </cfRule>
  </conditionalFormatting>
  <conditionalFormatting sqref="N161">
    <cfRule type="cellIs" dxfId="309" priority="179" stopIfTrue="1" operator="equal">
      <formula>1</formula>
    </cfRule>
    <cfRule type="cellIs" dxfId="308" priority="180" stopIfTrue="1" operator="equal">
      <formula>2</formula>
    </cfRule>
  </conditionalFormatting>
  <conditionalFormatting sqref="N230">
    <cfRule type="cellIs" dxfId="307" priority="726" stopIfTrue="1" operator="equal">
      <formula>3</formula>
    </cfRule>
    <cfRule type="cellIs" dxfId="306" priority="725" stopIfTrue="1" operator="equal">
      <formula>1</formula>
    </cfRule>
    <cfRule type="cellIs" dxfId="305" priority="724" stopIfTrue="1" operator="equal">
      <formula>2</formula>
    </cfRule>
  </conditionalFormatting>
  <conditionalFormatting sqref="N234:N235 N3:N18 N241:N243">
    <cfRule type="cellIs" dxfId="304" priority="911" stopIfTrue="1" operator="equal">
      <formula>1</formula>
    </cfRule>
  </conditionalFormatting>
  <conditionalFormatting sqref="N235 N237:N238">
    <cfRule type="cellIs" dxfId="303" priority="131" stopIfTrue="1" operator="equal">
      <formula>1</formula>
    </cfRule>
  </conditionalFormatting>
  <conditionalFormatting sqref="N235">
    <cfRule type="cellIs" dxfId="302" priority="132" stopIfTrue="1" operator="equal">
      <formula>2</formula>
    </cfRule>
  </conditionalFormatting>
  <conditionalFormatting sqref="N248:N250">
    <cfRule type="cellIs" dxfId="301" priority="247" stopIfTrue="1" operator="equal">
      <formula>1</formula>
    </cfRule>
  </conditionalFormatting>
  <conditionalFormatting sqref="N248:N257 A14:A16">
    <cfRule type="cellIs" dxfId="300" priority="913" stopIfTrue="1" operator="equal">
      <formula>1</formula>
    </cfRule>
  </conditionalFormatting>
  <conditionalFormatting sqref="O239">
    <cfRule type="cellIs" dxfId="299" priority="128" stopIfTrue="1" operator="equal">
      <formula>1</formula>
    </cfRule>
    <cfRule type="cellIs" dxfId="298" priority="130" stopIfTrue="1" operator="equal">
      <formula>2</formula>
    </cfRule>
    <cfRule type="cellIs" dxfId="297" priority="129" stopIfTrue="1" operator="equal">
      <formula>3</formula>
    </cfRule>
  </conditionalFormatting>
  <printOptions horizontalCentered="1"/>
  <pageMargins left="0" right="0" top="0" bottom="0" header="0" footer="0"/>
  <pageSetup paperSize="9" scale="75" fitToHeight="0" orientation="landscape" horizontalDpi="4294967292" verticalDpi="4294967292" r:id="rId1"/>
  <headerFooter alignWithMargins="0">
    <oddHeader xml:space="preserve">&amp;C&amp;K000000
&amp;R&amp;K000000
</oddHeader>
    <oddFooter>&amp;L&amp;K000000Stéphanie Bonaventure architecte 0473 95 41 81
&amp;R&amp;K000000page &amp;P/&amp;N</oddFooter>
  </headerFooter>
  <rowBreaks count="4" manualBreakCount="4">
    <brk id="56" max="16383" man="1"/>
    <brk id="148" max="16383" man="1"/>
    <brk id="228" max="16383" man="1"/>
    <brk id="26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E038-AEEC-4A77-986B-A64A0B7787D0}">
  <dimension ref="A1:U72"/>
  <sheetViews>
    <sheetView zoomScale="110" zoomScaleNormal="110" workbookViewId="0">
      <selection activeCell="L31" sqref="L31"/>
    </sheetView>
  </sheetViews>
  <sheetFormatPr baseColWidth="10" defaultColWidth="9.1640625" defaultRowHeight="15" outlineLevelCol="2" x14ac:dyDescent="0.15"/>
  <cols>
    <col min="1" max="1" width="9.1640625" style="389"/>
    <col min="2" max="2" width="102" style="390" customWidth="1"/>
    <col min="3" max="3" width="9.1640625" style="391"/>
    <col min="4" max="4" width="7.1640625" style="392" customWidth="1" outlineLevel="2"/>
    <col min="5" max="5" width="7.1640625" style="392" bestFit="1" customWidth="1" outlineLevel="2"/>
    <col min="6" max="6" width="6.1640625" style="392" customWidth="1" outlineLevel="2"/>
    <col min="7" max="7" width="7.1640625" style="392" bestFit="1" customWidth="1" outlineLevel="2"/>
    <col min="8" max="8" width="9.1640625" style="393"/>
    <col min="9" max="9" width="12.5" style="394" bestFit="1" customWidth="1"/>
    <col min="10" max="10" width="13" style="391" bestFit="1" customWidth="1"/>
    <col min="11" max="11" width="31.1640625" style="395" bestFit="1" customWidth="1"/>
    <col min="12" max="12" width="9.1640625" style="390"/>
    <col min="13" max="13" width="5.5" style="396" bestFit="1" customWidth="1"/>
    <col min="14" max="14" width="7.5" style="390" bestFit="1" customWidth="1"/>
    <col min="15" max="15" width="7.6640625" style="390" bestFit="1" customWidth="1"/>
    <col min="16" max="16" width="8" style="500" bestFit="1" customWidth="1"/>
    <col min="17" max="18" width="6" style="390" bestFit="1" customWidth="1"/>
    <col min="19" max="19" width="8.1640625" style="390" bestFit="1" customWidth="1"/>
    <col min="20" max="20" width="12.6640625" style="390" bestFit="1" customWidth="1"/>
    <col min="21" max="16384" width="9.1640625" style="390"/>
  </cols>
  <sheetData>
    <row r="1" spans="1:20" ht="6.75" customHeight="1" thickBot="1" x14ac:dyDescent="0.2"/>
    <row r="2" spans="1:20" ht="16" thickBot="1" x14ac:dyDescent="0.2">
      <c r="A2" s="397" t="s">
        <v>565</v>
      </c>
      <c r="B2" s="398" t="s">
        <v>689</v>
      </c>
      <c r="C2" s="398"/>
      <c r="D2" s="399"/>
      <c r="E2" s="399"/>
      <c r="F2" s="399"/>
      <c r="G2" s="399"/>
      <c r="H2" s="400"/>
      <c r="I2" s="401"/>
      <c r="J2" s="398"/>
      <c r="K2" s="402">
        <f>SUM(J3:J10)</f>
        <v>0</v>
      </c>
      <c r="M2" s="403" t="s">
        <v>511</v>
      </c>
      <c r="N2" s="482" t="s">
        <v>512</v>
      </c>
      <c r="O2" s="404" t="s">
        <v>513</v>
      </c>
      <c r="P2" s="501" t="s">
        <v>514</v>
      </c>
      <c r="Q2" s="403" t="s">
        <v>515</v>
      </c>
      <c r="R2" s="403" t="s">
        <v>516</v>
      </c>
      <c r="S2" s="403" t="s">
        <v>509</v>
      </c>
      <c r="T2" s="343" t="s">
        <v>510</v>
      </c>
    </row>
    <row r="3" spans="1:20" ht="6.75" customHeight="1" x14ac:dyDescent="0.15">
      <c r="K3" s="405"/>
      <c r="M3" s="406"/>
      <c r="N3" s="407"/>
      <c r="O3" s="408"/>
      <c r="P3" s="414"/>
      <c r="Q3" s="406"/>
      <c r="R3" s="406"/>
      <c r="S3" s="409"/>
      <c r="T3" s="189"/>
    </row>
    <row r="4" spans="1:20" x14ac:dyDescent="0.15">
      <c r="A4" s="410"/>
      <c r="B4" s="411" t="s">
        <v>690</v>
      </c>
      <c r="C4" s="389"/>
      <c r="D4" s="396"/>
      <c r="E4" s="396"/>
      <c r="F4" s="396"/>
      <c r="G4" s="396"/>
      <c r="I4" s="412"/>
      <c r="J4" s="413"/>
      <c r="K4" s="405"/>
      <c r="M4" s="406"/>
      <c r="N4" s="414"/>
      <c r="O4" s="408"/>
      <c r="P4" s="414"/>
      <c r="Q4" s="406"/>
      <c r="R4" s="406"/>
      <c r="S4" s="409"/>
      <c r="T4" s="189"/>
    </row>
    <row r="5" spans="1:20" x14ac:dyDescent="0.15">
      <c r="A5" s="410"/>
      <c r="B5" s="390" t="s">
        <v>691</v>
      </c>
      <c r="C5" s="389" t="s">
        <v>304</v>
      </c>
      <c r="D5" s="396">
        <v>1</v>
      </c>
      <c r="E5" s="396">
        <v>4.1500000000000004</v>
      </c>
      <c r="F5" s="396">
        <v>1.6</v>
      </c>
      <c r="G5" s="396">
        <v>0.8</v>
      </c>
      <c r="H5" s="393">
        <f>SUM(D5*E5*F5*G5)</f>
        <v>5.31</v>
      </c>
      <c r="I5" s="412">
        <v>265</v>
      </c>
      <c r="J5" s="413"/>
      <c r="K5" s="405"/>
      <c r="M5" s="406"/>
      <c r="N5" s="407"/>
      <c r="O5" s="408"/>
      <c r="P5" s="414"/>
      <c r="Q5" s="406">
        <v>0</v>
      </c>
      <c r="R5" s="406">
        <v>0</v>
      </c>
      <c r="S5" s="409">
        <f>SUM(M5:R5)</f>
        <v>0</v>
      </c>
      <c r="T5" s="415">
        <f>S5*J5</f>
        <v>0</v>
      </c>
    </row>
    <row r="6" spans="1:20" x14ac:dyDescent="0.15">
      <c r="A6" s="410"/>
      <c r="B6" s="390" t="s">
        <v>692</v>
      </c>
      <c r="C6" s="389" t="s">
        <v>297</v>
      </c>
      <c r="D6" s="396">
        <v>1</v>
      </c>
      <c r="E6" s="396">
        <v>4.1500000000000004</v>
      </c>
      <c r="F6" s="396">
        <v>1.6</v>
      </c>
      <c r="G6" s="396">
        <v>1</v>
      </c>
      <c r="H6" s="393">
        <f>SUM(D6*E6*F6*G6)</f>
        <v>6.64</v>
      </c>
      <c r="I6" s="412">
        <v>65</v>
      </c>
      <c r="J6" s="413"/>
      <c r="K6" s="405"/>
      <c r="M6" s="406"/>
      <c r="N6" s="407"/>
      <c r="O6" s="408"/>
      <c r="P6" s="414"/>
      <c r="Q6" s="406">
        <v>0</v>
      </c>
      <c r="R6" s="406">
        <v>0</v>
      </c>
      <c r="S6" s="409">
        <f>SUM(M6:R6)</f>
        <v>0</v>
      </c>
      <c r="T6" s="415">
        <f>S6*J6</f>
        <v>0</v>
      </c>
    </row>
    <row r="7" spans="1:20" x14ac:dyDescent="0.15">
      <c r="A7" s="410"/>
      <c r="B7" s="390" t="s">
        <v>693</v>
      </c>
      <c r="C7" s="389" t="s">
        <v>297</v>
      </c>
      <c r="D7" s="396">
        <v>1</v>
      </c>
      <c r="E7" s="396">
        <v>4.1500000000000004</v>
      </c>
      <c r="F7" s="396">
        <v>1.6</v>
      </c>
      <c r="G7" s="396">
        <v>1</v>
      </c>
      <c r="H7" s="393">
        <f>SUM(D7*E7*F7*G7)</f>
        <v>6.64</v>
      </c>
      <c r="I7" s="412">
        <v>24.25</v>
      </c>
      <c r="J7" s="413"/>
      <c r="K7" s="405"/>
      <c r="M7" s="406"/>
      <c r="N7" s="414"/>
      <c r="O7" s="408"/>
      <c r="P7" s="414"/>
      <c r="Q7" s="406">
        <v>0</v>
      </c>
      <c r="R7" s="406">
        <v>0</v>
      </c>
      <c r="S7" s="409">
        <f>SUM(M7:R7)</f>
        <v>0</v>
      </c>
      <c r="T7" s="415">
        <f>S7*J7</f>
        <v>0</v>
      </c>
    </row>
    <row r="8" spans="1:20" x14ac:dyDescent="0.15">
      <c r="A8" s="410"/>
      <c r="B8" s="390" t="s">
        <v>694</v>
      </c>
      <c r="C8" s="389" t="s">
        <v>307</v>
      </c>
      <c r="D8" s="396">
        <v>1</v>
      </c>
      <c r="E8" s="396">
        <v>4.1500000000000004</v>
      </c>
      <c r="F8" s="396">
        <v>1</v>
      </c>
      <c r="G8" s="396">
        <v>1</v>
      </c>
      <c r="H8" s="393">
        <f>SUM(D8*E8*F8*G8)</f>
        <v>4.1500000000000004</v>
      </c>
      <c r="I8" s="412">
        <v>58.5</v>
      </c>
      <c r="J8" s="413"/>
      <c r="K8" s="405"/>
      <c r="M8" s="406"/>
      <c r="N8" s="414"/>
      <c r="O8" s="408"/>
      <c r="P8" s="414"/>
      <c r="Q8" s="406">
        <v>0</v>
      </c>
      <c r="R8" s="406">
        <v>0</v>
      </c>
      <c r="S8" s="409">
        <f t="shared" ref="S8:S9" si="0">SUM(M8:R8)</f>
        <v>0</v>
      </c>
      <c r="T8" s="415">
        <f t="shared" ref="T8:T9" si="1">S8*J8</f>
        <v>0</v>
      </c>
    </row>
    <row r="9" spans="1:20" x14ac:dyDescent="0.15">
      <c r="A9" s="410"/>
      <c r="B9" s="390" t="s">
        <v>695</v>
      </c>
      <c r="C9" s="389" t="s">
        <v>304</v>
      </c>
      <c r="D9" s="396">
        <v>1</v>
      </c>
      <c r="E9" s="396">
        <v>4.1500000000000004</v>
      </c>
      <c r="F9" s="396">
        <v>1.6</v>
      </c>
      <c r="G9" s="396">
        <v>0.8</v>
      </c>
      <c r="H9" s="393">
        <f>SUM(D9*E9*F9*G9)</f>
        <v>5.31</v>
      </c>
      <c r="I9" s="412">
        <v>165</v>
      </c>
      <c r="J9" s="413"/>
      <c r="K9" s="405"/>
      <c r="M9" s="406"/>
      <c r="N9" s="414"/>
      <c r="O9" s="408"/>
      <c r="P9" s="414"/>
      <c r="Q9" s="406">
        <v>0</v>
      </c>
      <c r="R9" s="406">
        <v>0</v>
      </c>
      <c r="S9" s="409">
        <f t="shared" si="0"/>
        <v>0</v>
      </c>
      <c r="T9" s="415">
        <f t="shared" si="1"/>
        <v>0</v>
      </c>
    </row>
    <row r="10" spans="1:20" ht="6.75" customHeight="1" x14ac:dyDescent="0.15">
      <c r="K10" s="405"/>
      <c r="M10" s="406"/>
      <c r="N10" s="407"/>
      <c r="O10" s="408"/>
      <c r="P10" s="414"/>
      <c r="Q10" s="406"/>
      <c r="R10" s="406"/>
      <c r="S10" s="409"/>
      <c r="T10" s="189"/>
    </row>
    <row r="11" spans="1:20" x14ac:dyDescent="0.15">
      <c r="A11" s="397" t="s">
        <v>575</v>
      </c>
      <c r="B11" s="398" t="s">
        <v>696</v>
      </c>
      <c r="C11" s="398"/>
      <c r="D11" s="399"/>
      <c r="E11" s="399"/>
      <c r="F11" s="399"/>
      <c r="G11" s="399"/>
      <c r="H11" s="400"/>
      <c r="I11" s="401"/>
      <c r="J11" s="398"/>
      <c r="K11" s="402">
        <f>SUM(J12:J44)</f>
        <v>0</v>
      </c>
      <c r="M11" s="416"/>
      <c r="N11" s="407"/>
      <c r="O11" s="407"/>
      <c r="P11" s="414"/>
      <c r="Q11" s="416"/>
      <c r="R11" s="416"/>
      <c r="S11" s="409"/>
      <c r="T11" s="249"/>
    </row>
    <row r="12" spans="1:20" ht="6.75" customHeight="1" x14ac:dyDescent="0.15">
      <c r="K12" s="405"/>
      <c r="M12" s="406"/>
      <c r="N12" s="407"/>
      <c r="O12" s="408"/>
      <c r="P12" s="414"/>
      <c r="Q12" s="406"/>
      <c r="R12" s="406"/>
      <c r="S12" s="409"/>
      <c r="T12" s="189"/>
    </row>
    <row r="13" spans="1:20" ht="32" x14ac:dyDescent="0.15">
      <c r="A13" s="410"/>
      <c r="B13" s="411" t="s">
        <v>697</v>
      </c>
      <c r="C13" s="389"/>
      <c r="D13" s="396"/>
      <c r="E13" s="396"/>
      <c r="F13" s="396"/>
      <c r="G13" s="396"/>
      <c r="I13" s="412"/>
      <c r="J13" s="413"/>
      <c r="K13" s="405" t="s">
        <v>698</v>
      </c>
      <c r="M13" s="406"/>
      <c r="N13" s="407"/>
      <c r="O13" s="408"/>
      <c r="P13" s="414"/>
      <c r="Q13" s="406"/>
      <c r="R13" s="406"/>
      <c r="S13" s="409"/>
      <c r="T13" s="415"/>
    </row>
    <row r="14" spans="1:20" x14ac:dyDescent="0.15">
      <c r="A14" s="410"/>
      <c r="B14" s="390" t="s">
        <v>699</v>
      </c>
      <c r="C14" s="389" t="s">
        <v>304</v>
      </c>
      <c r="D14" s="396"/>
      <c r="E14" s="396"/>
      <c r="F14" s="396"/>
      <c r="G14" s="396"/>
      <c r="H14" s="393">
        <f>+H15+H16</f>
        <v>1.36</v>
      </c>
      <c r="I14" s="412">
        <v>265</v>
      </c>
      <c r="J14" s="413"/>
      <c r="K14" s="405"/>
      <c r="M14" s="406"/>
      <c r="N14" s="407"/>
      <c r="O14" s="408"/>
      <c r="P14" s="414"/>
      <c r="Q14" s="406">
        <v>0</v>
      </c>
      <c r="R14" s="406">
        <v>0</v>
      </c>
      <c r="S14" s="409">
        <f t="shared" ref="S14:S17" si="2">SUM(M14:R14)</f>
        <v>0</v>
      </c>
      <c r="T14" s="415">
        <f t="shared" ref="T14:T17" si="3">S14*J14</f>
        <v>0</v>
      </c>
    </row>
    <row r="15" spans="1:20" x14ac:dyDescent="0.15">
      <c r="A15" s="410"/>
      <c r="B15" s="417" t="s">
        <v>700</v>
      </c>
      <c r="C15" s="389"/>
      <c r="D15" s="396">
        <v>1</v>
      </c>
      <c r="E15" s="396">
        <v>0.3</v>
      </c>
      <c r="F15" s="396">
        <v>5.65</v>
      </c>
      <c r="G15" s="396">
        <v>0.4</v>
      </c>
      <c r="H15" s="396">
        <f>+D15*E15*F15*G15</f>
        <v>0.68</v>
      </c>
      <c r="I15" s="412"/>
      <c r="J15" s="413"/>
      <c r="K15" s="405"/>
      <c r="M15" s="406"/>
      <c r="N15" s="407"/>
      <c r="O15" s="408"/>
      <c r="P15" s="414"/>
      <c r="Q15" s="406"/>
      <c r="R15" s="406"/>
      <c r="S15" s="409"/>
      <c r="T15" s="415"/>
    </row>
    <row r="16" spans="1:20" x14ac:dyDescent="0.15">
      <c r="A16" s="410"/>
      <c r="B16" s="417" t="s">
        <v>701</v>
      </c>
      <c r="C16" s="389"/>
      <c r="D16" s="396">
        <v>1</v>
      </c>
      <c r="E16" s="396">
        <v>0.3</v>
      </c>
      <c r="F16" s="396">
        <v>0.4</v>
      </c>
      <c r="G16" s="396">
        <v>5.65</v>
      </c>
      <c r="H16" s="396">
        <f>+D16*E16*F16*G16</f>
        <v>0.68</v>
      </c>
      <c r="I16" s="412"/>
      <c r="J16" s="413"/>
      <c r="K16" s="405"/>
      <c r="M16" s="406"/>
      <c r="N16" s="407"/>
      <c r="O16" s="408"/>
      <c r="P16" s="414"/>
      <c r="Q16" s="406"/>
      <c r="R16" s="406"/>
      <c r="S16" s="409"/>
      <c r="T16" s="415"/>
    </row>
    <row r="17" spans="1:20" x14ac:dyDescent="0.15">
      <c r="A17" s="410"/>
      <c r="B17" s="390" t="s">
        <v>580</v>
      </c>
      <c r="C17" s="389" t="s">
        <v>304</v>
      </c>
      <c r="D17" s="396"/>
      <c r="E17" s="396"/>
      <c r="F17" s="396"/>
      <c r="G17" s="396"/>
      <c r="H17" s="393">
        <f>+H18+H19+H20</f>
        <v>2.48</v>
      </c>
      <c r="I17" s="412">
        <v>695</v>
      </c>
      <c r="J17" s="413"/>
      <c r="K17" s="405"/>
      <c r="M17" s="406"/>
      <c r="N17" s="407"/>
      <c r="O17" s="408"/>
      <c r="P17" s="414"/>
      <c r="Q17" s="406">
        <v>0</v>
      </c>
      <c r="R17" s="406">
        <v>0</v>
      </c>
      <c r="S17" s="409">
        <f t="shared" si="2"/>
        <v>0</v>
      </c>
      <c r="T17" s="415">
        <f t="shared" si="3"/>
        <v>0</v>
      </c>
    </row>
    <row r="18" spans="1:20" x14ac:dyDescent="0.15">
      <c r="A18" s="410"/>
      <c r="B18" s="417" t="s">
        <v>702</v>
      </c>
      <c r="C18" s="389"/>
      <c r="D18" s="396">
        <v>1</v>
      </c>
      <c r="E18" s="396">
        <v>1.1499999999999999</v>
      </c>
      <c r="F18" s="396">
        <v>5.65</v>
      </c>
      <c r="G18" s="396">
        <v>0.12</v>
      </c>
      <c r="H18" s="396">
        <f>+D18*E18*F18*G18</f>
        <v>0.78</v>
      </c>
      <c r="I18" s="412"/>
      <c r="J18" s="413"/>
      <c r="K18" s="405"/>
      <c r="M18" s="406"/>
      <c r="N18" s="407"/>
      <c r="O18" s="408"/>
      <c r="P18" s="414"/>
      <c r="Q18" s="406"/>
      <c r="R18" s="406"/>
      <c r="S18" s="409"/>
      <c r="T18" s="415"/>
    </row>
    <row r="19" spans="1:20" x14ac:dyDescent="0.15">
      <c r="A19" s="410"/>
      <c r="B19" s="417" t="s">
        <v>700</v>
      </c>
      <c r="C19" s="389"/>
      <c r="D19" s="396">
        <v>1</v>
      </c>
      <c r="E19" s="396">
        <f>0.4+0.5+0.3</f>
        <v>1.2</v>
      </c>
      <c r="F19" s="396">
        <v>5.65</v>
      </c>
      <c r="G19" s="396">
        <v>0.15</v>
      </c>
      <c r="H19" s="396">
        <f>+D19*E19*F19*G19</f>
        <v>1.02</v>
      </c>
      <c r="I19" s="412"/>
      <c r="J19" s="413"/>
      <c r="K19" s="405"/>
      <c r="M19" s="406"/>
      <c r="N19" s="407"/>
      <c r="O19" s="408"/>
      <c r="P19" s="414"/>
      <c r="Q19" s="406"/>
      <c r="R19" s="406"/>
      <c r="S19" s="409"/>
      <c r="T19" s="415"/>
    </row>
    <row r="20" spans="1:20" x14ac:dyDescent="0.15">
      <c r="A20" s="410"/>
      <c r="B20" s="417" t="s">
        <v>701</v>
      </c>
      <c r="C20" s="389"/>
      <c r="D20" s="396">
        <v>1</v>
      </c>
      <c r="E20" s="396">
        <v>0.3</v>
      </c>
      <c r="F20" s="396">
        <v>0.4</v>
      </c>
      <c r="G20" s="396">
        <v>5.65</v>
      </c>
      <c r="H20" s="396">
        <f>+D20*E20*F20*G20</f>
        <v>0.68</v>
      </c>
      <c r="I20" s="412"/>
      <c r="J20" s="413"/>
      <c r="K20" s="405"/>
      <c r="M20" s="406"/>
      <c r="N20" s="407"/>
      <c r="O20" s="408"/>
      <c r="P20" s="414"/>
      <c r="Q20" s="406"/>
      <c r="R20" s="406"/>
      <c r="S20" s="409"/>
      <c r="T20" s="415"/>
    </row>
    <row r="21" spans="1:20" x14ac:dyDescent="0.15">
      <c r="A21" s="410"/>
      <c r="B21" s="390" t="s">
        <v>703</v>
      </c>
      <c r="C21" s="389" t="s">
        <v>297</v>
      </c>
      <c r="D21" s="396"/>
      <c r="E21" s="396"/>
      <c r="F21" s="396"/>
      <c r="G21" s="396"/>
      <c r="H21" s="393">
        <f>+H22+H23+H24</f>
        <v>10.17</v>
      </c>
      <c r="I21" s="412">
        <v>115.17</v>
      </c>
      <c r="J21" s="413"/>
      <c r="K21" s="405"/>
      <c r="M21" s="406"/>
      <c r="N21" s="407"/>
      <c r="O21" s="408"/>
      <c r="P21" s="414"/>
      <c r="Q21" s="406">
        <v>0</v>
      </c>
      <c r="R21" s="406">
        <v>0</v>
      </c>
      <c r="S21" s="409">
        <f t="shared" ref="S21" si="4">SUM(M21:R21)</f>
        <v>0</v>
      </c>
      <c r="T21" s="415">
        <f t="shared" ref="T21" si="5">S21*J21</f>
        <v>0</v>
      </c>
    </row>
    <row r="22" spans="1:20" x14ac:dyDescent="0.15">
      <c r="A22" s="410"/>
      <c r="B22" s="417" t="s">
        <v>702</v>
      </c>
      <c r="C22" s="389"/>
      <c r="D22" s="396">
        <v>0</v>
      </c>
      <c r="E22" s="396">
        <v>1.1499999999999999</v>
      </c>
      <c r="F22" s="396">
        <v>5.65</v>
      </c>
      <c r="G22" s="396">
        <v>0.12</v>
      </c>
      <c r="H22" s="396">
        <f>+D22*E22*F22*G22</f>
        <v>0</v>
      </c>
      <c r="I22" s="412"/>
      <c r="J22" s="413"/>
      <c r="K22" s="405"/>
      <c r="M22" s="406"/>
      <c r="N22" s="407"/>
      <c r="O22" s="408"/>
      <c r="P22" s="414"/>
      <c r="Q22" s="406"/>
      <c r="R22" s="406"/>
      <c r="S22" s="409"/>
      <c r="T22" s="415"/>
    </row>
    <row r="23" spans="1:20" x14ac:dyDescent="0.15">
      <c r="A23" s="410"/>
      <c r="B23" s="417" t="s">
        <v>700</v>
      </c>
      <c r="C23" s="389"/>
      <c r="D23" s="396">
        <v>1</v>
      </c>
      <c r="E23" s="396">
        <f>0.4+0.5+0.3</f>
        <v>1.2</v>
      </c>
      <c r="F23" s="396">
        <v>5.65</v>
      </c>
      <c r="G23" s="396">
        <v>0.15</v>
      </c>
      <c r="H23" s="396">
        <f>+D23*E23*F23</f>
        <v>6.78</v>
      </c>
      <c r="I23" s="412"/>
      <c r="J23" s="413"/>
      <c r="K23" s="405"/>
      <c r="M23" s="406"/>
      <c r="N23" s="407"/>
      <c r="O23" s="408"/>
      <c r="P23" s="414"/>
      <c r="Q23" s="406"/>
      <c r="R23" s="406"/>
      <c r="S23" s="409"/>
      <c r="T23" s="415"/>
    </row>
    <row r="24" spans="1:20" x14ac:dyDescent="0.15">
      <c r="A24" s="410"/>
      <c r="B24" s="417" t="s">
        <v>701</v>
      </c>
      <c r="C24" s="389"/>
      <c r="D24" s="396">
        <v>1</v>
      </c>
      <c r="E24" s="396">
        <v>0.3</v>
      </c>
      <c r="F24" s="396">
        <v>0.4</v>
      </c>
      <c r="G24" s="396">
        <v>5.65</v>
      </c>
      <c r="H24" s="396">
        <f>+D24*2*E24*G24</f>
        <v>3.39</v>
      </c>
      <c r="I24" s="412"/>
      <c r="J24" s="413"/>
      <c r="K24" s="405"/>
      <c r="M24" s="406"/>
      <c r="N24" s="407"/>
      <c r="O24" s="408"/>
      <c r="P24" s="414"/>
      <c r="Q24" s="406"/>
      <c r="R24" s="406"/>
      <c r="S24" s="409"/>
      <c r="T24" s="415"/>
    </row>
    <row r="25" spans="1:20" x14ac:dyDescent="0.15">
      <c r="A25" s="410"/>
      <c r="B25" s="390" t="s">
        <v>704</v>
      </c>
      <c r="C25" s="389" t="s">
        <v>305</v>
      </c>
      <c r="D25" s="396">
        <f>(1.15+0.4+0.5+0.3)</f>
        <v>2.35</v>
      </c>
      <c r="E25" s="396">
        <v>5.65</v>
      </c>
      <c r="F25" s="396">
        <f>5.274</f>
        <v>5.27</v>
      </c>
      <c r="G25" s="396">
        <v>1.2</v>
      </c>
      <c r="H25" s="393">
        <f>+D25*E25*F25*G25</f>
        <v>83.97</v>
      </c>
      <c r="I25" s="412">
        <v>4.05</v>
      </c>
      <c r="J25" s="413"/>
      <c r="K25" s="405"/>
      <c r="M25" s="406"/>
      <c r="N25" s="407"/>
      <c r="O25" s="408"/>
      <c r="P25" s="414"/>
      <c r="Q25" s="406">
        <v>0</v>
      </c>
      <c r="R25" s="406">
        <v>0</v>
      </c>
      <c r="S25" s="409">
        <f t="shared" ref="S25:S26" si="6">SUM(M25:R25)</f>
        <v>0</v>
      </c>
      <c r="T25" s="415">
        <f t="shared" ref="T25:T26" si="7">S25*J25</f>
        <v>0</v>
      </c>
    </row>
    <row r="26" spans="1:20" x14ac:dyDescent="0.15">
      <c r="A26" s="410"/>
      <c r="B26" s="390" t="s">
        <v>705</v>
      </c>
      <c r="C26" s="389" t="s">
        <v>305</v>
      </c>
      <c r="D26" s="396">
        <f>+H20</f>
        <v>0.68</v>
      </c>
      <c r="E26" s="396">
        <v>45</v>
      </c>
      <c r="F26" s="396"/>
      <c r="G26" s="396"/>
      <c r="H26" s="393">
        <f>+D26*E26</f>
        <v>30.6</v>
      </c>
      <c r="I26" s="412">
        <v>4.8499999999999996</v>
      </c>
      <c r="J26" s="413"/>
      <c r="K26" s="405"/>
      <c r="M26" s="406"/>
      <c r="N26" s="407"/>
      <c r="O26" s="408"/>
      <c r="P26" s="414"/>
      <c r="Q26" s="406">
        <v>0</v>
      </c>
      <c r="R26" s="406">
        <v>0</v>
      </c>
      <c r="S26" s="409">
        <f t="shared" si="6"/>
        <v>0</v>
      </c>
      <c r="T26" s="415">
        <f t="shared" si="7"/>
        <v>0</v>
      </c>
    </row>
    <row r="27" spans="1:20" ht="6.75" customHeight="1" x14ac:dyDescent="0.15">
      <c r="K27" s="405"/>
      <c r="M27" s="406"/>
      <c r="N27" s="414"/>
      <c r="O27" s="408"/>
      <c r="P27" s="414"/>
      <c r="Q27" s="406"/>
      <c r="R27" s="406"/>
      <c r="S27" s="409"/>
      <c r="T27" s="415"/>
    </row>
    <row r="28" spans="1:20" ht="32" x14ac:dyDescent="0.15">
      <c r="A28" s="410"/>
      <c r="B28" s="411" t="s">
        <v>706</v>
      </c>
      <c r="C28" s="389"/>
      <c r="D28" s="396"/>
      <c r="E28" s="396"/>
      <c r="F28" s="396"/>
      <c r="G28" s="396"/>
      <c r="I28" s="412"/>
      <c r="J28" s="413"/>
      <c r="K28" s="405" t="s">
        <v>698</v>
      </c>
      <c r="M28" s="406"/>
      <c r="N28" s="407"/>
      <c r="O28" s="408"/>
      <c r="P28" s="414"/>
      <c r="Q28" s="406"/>
      <c r="R28" s="406"/>
      <c r="S28" s="409"/>
      <c r="T28" s="415"/>
    </row>
    <row r="29" spans="1:20" x14ac:dyDescent="0.15">
      <c r="A29" s="410"/>
      <c r="B29" s="390" t="s">
        <v>699</v>
      </c>
      <c r="C29" s="389" t="s">
        <v>304</v>
      </c>
      <c r="D29" s="396"/>
      <c r="E29" s="396"/>
      <c r="F29" s="396"/>
      <c r="G29" s="396"/>
      <c r="H29" s="393">
        <f>+H30+H31</f>
        <v>2.57</v>
      </c>
      <c r="I29" s="412">
        <v>265</v>
      </c>
      <c r="J29" s="413"/>
      <c r="K29" s="405"/>
      <c r="M29" s="406"/>
      <c r="N29" s="407"/>
      <c r="O29" s="408"/>
      <c r="P29" s="414"/>
      <c r="Q29" s="406">
        <v>0</v>
      </c>
      <c r="R29" s="406">
        <v>0</v>
      </c>
      <c r="S29" s="409">
        <f t="shared" ref="S29:S31" si="8">SUM(M29:R29)</f>
        <v>0</v>
      </c>
      <c r="T29" s="415">
        <f t="shared" ref="T29:T31" si="9">S29*J29</f>
        <v>0</v>
      </c>
    </row>
    <row r="30" spans="1:20" x14ac:dyDescent="0.15">
      <c r="A30" s="410"/>
      <c r="B30" s="417" t="s">
        <v>700</v>
      </c>
      <c r="C30" s="389"/>
      <c r="D30" s="396">
        <v>1</v>
      </c>
      <c r="E30" s="396">
        <v>10.25</v>
      </c>
      <c r="F30" s="396">
        <v>0.5</v>
      </c>
      <c r="G30" s="396">
        <v>0.14000000000000001</v>
      </c>
      <c r="H30" s="396">
        <f>+D30*E30*F30*G30</f>
        <v>0.72</v>
      </c>
      <c r="I30" s="412"/>
      <c r="J30" s="413"/>
      <c r="K30" s="405"/>
      <c r="M30" s="406"/>
      <c r="N30" s="407"/>
      <c r="O30" s="408"/>
      <c r="P30" s="414"/>
      <c r="Q30" s="406">
        <v>0</v>
      </c>
      <c r="R30" s="406">
        <v>0</v>
      </c>
      <c r="S30" s="409">
        <f t="shared" si="8"/>
        <v>0</v>
      </c>
      <c r="T30" s="415">
        <f t="shared" si="9"/>
        <v>0</v>
      </c>
    </row>
    <row r="31" spans="1:20" x14ac:dyDescent="0.15">
      <c r="A31" s="410"/>
      <c r="B31" s="417" t="s">
        <v>701</v>
      </c>
      <c r="C31" s="389"/>
      <c r="D31" s="396">
        <v>1</v>
      </c>
      <c r="E31" s="396">
        <v>0.3</v>
      </c>
      <c r="F31" s="396">
        <v>0.6</v>
      </c>
      <c r="G31" s="396">
        <v>10.25</v>
      </c>
      <c r="H31" s="396">
        <f>+D31*E31*F31*G31</f>
        <v>1.85</v>
      </c>
      <c r="I31" s="412"/>
      <c r="J31" s="413"/>
      <c r="K31" s="405"/>
      <c r="M31" s="406"/>
      <c r="N31" s="407"/>
      <c r="O31" s="408"/>
      <c r="P31" s="414"/>
      <c r="Q31" s="406">
        <v>0</v>
      </c>
      <c r="R31" s="406">
        <v>0</v>
      </c>
      <c r="S31" s="409">
        <f t="shared" si="8"/>
        <v>0</v>
      </c>
      <c r="T31" s="415">
        <f t="shared" si="9"/>
        <v>0</v>
      </c>
    </row>
    <row r="32" spans="1:20" x14ac:dyDescent="0.15">
      <c r="A32" s="410"/>
      <c r="B32" s="390" t="s">
        <v>707</v>
      </c>
      <c r="C32" s="389"/>
      <c r="D32" s="396"/>
      <c r="E32" s="396"/>
      <c r="F32" s="396"/>
      <c r="G32" s="396"/>
      <c r="I32" s="412"/>
      <c r="J32" s="413" t="s">
        <v>708</v>
      </c>
      <c r="K32" s="405"/>
      <c r="M32" s="406"/>
      <c r="N32" s="407"/>
      <c r="O32" s="408"/>
      <c r="P32" s="414"/>
      <c r="Q32" s="406"/>
      <c r="R32" s="406"/>
      <c r="S32" s="409"/>
      <c r="T32" s="415"/>
    </row>
    <row r="33" spans="1:20" x14ac:dyDescent="0.15">
      <c r="A33" s="410"/>
      <c r="B33" s="390" t="s">
        <v>709</v>
      </c>
      <c r="C33" s="389" t="s">
        <v>304</v>
      </c>
      <c r="D33" s="396">
        <v>1</v>
      </c>
      <c r="E33" s="396">
        <v>0.3</v>
      </c>
      <c r="F33" s="396">
        <v>0.6</v>
      </c>
      <c r="G33" s="396">
        <v>10.25</v>
      </c>
      <c r="H33" s="393">
        <f>+D33*E33*F33*G33</f>
        <v>1.85</v>
      </c>
      <c r="I33" s="412">
        <v>695</v>
      </c>
      <c r="J33" s="413"/>
      <c r="K33" s="405"/>
      <c r="M33" s="406"/>
      <c r="N33" s="407"/>
      <c r="O33" s="408"/>
      <c r="P33" s="414"/>
      <c r="Q33" s="406">
        <v>0</v>
      </c>
      <c r="R33" s="406">
        <v>0</v>
      </c>
      <c r="S33" s="409">
        <f t="shared" ref="S33" si="10">SUM(M33:R33)</f>
        <v>0</v>
      </c>
      <c r="T33" s="415">
        <f t="shared" ref="T33:T36" si="11">S33*J33</f>
        <v>0</v>
      </c>
    </row>
    <row r="34" spans="1:20" x14ac:dyDescent="0.15">
      <c r="A34" s="410"/>
      <c r="B34" s="390" t="s">
        <v>410</v>
      </c>
      <c r="C34" s="389" t="s">
        <v>297</v>
      </c>
      <c r="D34" s="396">
        <v>1</v>
      </c>
      <c r="E34" s="396">
        <v>0.3</v>
      </c>
      <c r="F34" s="396">
        <v>0.6</v>
      </c>
      <c r="G34" s="396">
        <v>10.25</v>
      </c>
      <c r="H34" s="393">
        <f>+D34*E34*2*G34</f>
        <v>6.15</v>
      </c>
      <c r="I34" s="412">
        <v>115.17</v>
      </c>
      <c r="J34" s="413"/>
      <c r="K34" s="405"/>
      <c r="M34" s="406"/>
      <c r="N34" s="407"/>
      <c r="O34" s="408"/>
      <c r="P34" s="414"/>
      <c r="Q34" s="406">
        <v>0</v>
      </c>
      <c r="R34" s="406">
        <v>0</v>
      </c>
      <c r="S34" s="409">
        <f t="shared" ref="S34" si="12">SUM(M34:R34)</f>
        <v>0</v>
      </c>
      <c r="T34" s="415">
        <f t="shared" si="11"/>
        <v>0</v>
      </c>
    </row>
    <row r="35" spans="1:20" x14ac:dyDescent="0.15">
      <c r="A35" s="410"/>
      <c r="B35" s="390" t="s">
        <v>710</v>
      </c>
      <c r="C35" s="389" t="s">
        <v>305</v>
      </c>
      <c r="D35" s="396">
        <f>+H33</f>
        <v>1.85</v>
      </c>
      <c r="E35" s="396">
        <v>45</v>
      </c>
      <c r="F35" s="396"/>
      <c r="G35" s="396"/>
      <c r="H35" s="393">
        <f>+D35*E35</f>
        <v>83.25</v>
      </c>
      <c r="I35" s="412">
        <v>4.8499999999999996</v>
      </c>
      <c r="J35" s="413"/>
      <c r="K35" s="405"/>
      <c r="M35" s="406"/>
      <c r="N35" s="407"/>
      <c r="O35" s="408"/>
      <c r="P35" s="414"/>
      <c r="Q35" s="406">
        <v>0</v>
      </c>
      <c r="R35" s="406">
        <v>0</v>
      </c>
      <c r="S35" s="409">
        <f t="shared" ref="S35:S36" si="13">SUM(M35:R35)</f>
        <v>0</v>
      </c>
      <c r="T35" s="415">
        <f t="shared" si="11"/>
        <v>0</v>
      </c>
    </row>
    <row r="36" spans="1:20" x14ac:dyDescent="0.15">
      <c r="A36" s="410"/>
      <c r="B36" s="390" t="s">
        <v>711</v>
      </c>
      <c r="C36" s="389" t="s">
        <v>304</v>
      </c>
      <c r="D36" s="396">
        <v>1</v>
      </c>
      <c r="E36" s="396">
        <v>10.25</v>
      </c>
      <c r="F36" s="396">
        <f>0.3+0.5-0.3</f>
        <v>0.5</v>
      </c>
      <c r="G36" s="396">
        <v>0.14000000000000001</v>
      </c>
      <c r="H36" s="393">
        <f>+D36*E36*F36*G36</f>
        <v>0.72</v>
      </c>
      <c r="I36" s="412">
        <v>785</v>
      </c>
      <c r="J36" s="413"/>
      <c r="K36" s="405"/>
      <c r="M36" s="406"/>
      <c r="N36" s="407"/>
      <c r="O36" s="408"/>
      <c r="P36" s="414"/>
      <c r="Q36" s="406">
        <v>0</v>
      </c>
      <c r="R36" s="406">
        <v>0</v>
      </c>
      <c r="S36" s="409">
        <f t="shared" si="13"/>
        <v>0</v>
      </c>
      <c r="T36" s="415">
        <f t="shared" si="11"/>
        <v>0</v>
      </c>
    </row>
    <row r="37" spans="1:20" ht="6.75" customHeight="1" x14ac:dyDescent="0.15">
      <c r="K37" s="405"/>
      <c r="M37" s="406"/>
      <c r="N37" s="414"/>
      <c r="O37" s="408"/>
      <c r="P37" s="414"/>
      <c r="Q37" s="406"/>
      <c r="R37" s="406"/>
      <c r="S37" s="409"/>
      <c r="T37" s="415"/>
    </row>
    <row r="38" spans="1:20" ht="32" x14ac:dyDescent="0.15">
      <c r="A38" s="410"/>
      <c r="B38" s="411" t="s">
        <v>712</v>
      </c>
      <c r="C38" s="389"/>
      <c r="D38" s="396"/>
      <c r="E38" s="396"/>
      <c r="F38" s="396"/>
      <c r="G38" s="396"/>
      <c r="I38" s="412"/>
      <c r="J38" s="413"/>
      <c r="K38" s="405" t="s">
        <v>698</v>
      </c>
      <c r="M38" s="406"/>
      <c r="N38" s="407"/>
      <c r="O38" s="408"/>
      <c r="P38" s="414"/>
      <c r="Q38" s="406"/>
      <c r="R38" s="406"/>
      <c r="S38" s="409"/>
      <c r="T38" s="415"/>
    </row>
    <row r="39" spans="1:20" x14ac:dyDescent="0.15">
      <c r="A39" s="410"/>
      <c r="B39" s="390" t="s">
        <v>699</v>
      </c>
      <c r="C39" s="389" t="s">
        <v>304</v>
      </c>
      <c r="D39" s="396">
        <v>0.15</v>
      </c>
      <c r="E39" s="396">
        <v>12.31</v>
      </c>
      <c r="F39" s="396"/>
      <c r="G39" s="396"/>
      <c r="H39" s="393">
        <f>+D39*E39</f>
        <v>1.85</v>
      </c>
      <c r="I39" s="412">
        <v>265</v>
      </c>
      <c r="J39" s="413"/>
      <c r="K39" s="405"/>
      <c r="M39" s="406"/>
      <c r="N39" s="407"/>
      <c r="O39" s="408"/>
      <c r="P39" s="414"/>
      <c r="Q39" s="406">
        <v>0</v>
      </c>
      <c r="R39" s="406">
        <v>0</v>
      </c>
      <c r="S39" s="409">
        <f t="shared" ref="S39" si="14">SUM(M39:R39)</f>
        <v>0</v>
      </c>
      <c r="T39" s="415">
        <f t="shared" ref="T39:T43" si="15">S39*J39</f>
        <v>0</v>
      </c>
    </row>
    <row r="40" spans="1:20" x14ac:dyDescent="0.15">
      <c r="A40" s="410"/>
      <c r="B40" s="390" t="s">
        <v>713</v>
      </c>
      <c r="C40" s="389" t="s">
        <v>304</v>
      </c>
      <c r="D40" s="396">
        <v>0.15</v>
      </c>
      <c r="E40" s="396">
        <v>12.31</v>
      </c>
      <c r="F40" s="396"/>
      <c r="G40" s="396"/>
      <c r="H40" s="393">
        <f>+D40*E40</f>
        <v>1.85</v>
      </c>
      <c r="I40" s="412">
        <v>165</v>
      </c>
      <c r="J40" s="413"/>
      <c r="K40" s="405"/>
      <c r="M40" s="406"/>
      <c r="N40" s="407"/>
      <c r="O40" s="408"/>
      <c r="P40" s="414"/>
      <c r="Q40" s="406">
        <v>0</v>
      </c>
      <c r="R40" s="406">
        <v>0</v>
      </c>
      <c r="S40" s="409">
        <f t="shared" ref="S40:S43" si="16">SUM(M40:R40)</f>
        <v>0</v>
      </c>
      <c r="T40" s="415">
        <f t="shared" si="15"/>
        <v>0</v>
      </c>
    </row>
    <row r="41" spans="1:20" x14ac:dyDescent="0.15">
      <c r="A41" s="410"/>
      <c r="B41" s="390" t="s">
        <v>714</v>
      </c>
      <c r="C41" s="389" t="s">
        <v>297</v>
      </c>
      <c r="D41" s="396"/>
      <c r="E41" s="396"/>
      <c r="F41" s="396"/>
      <c r="G41" s="396"/>
      <c r="H41" s="393">
        <v>12.31</v>
      </c>
      <c r="I41" s="412">
        <v>4.03</v>
      </c>
      <c r="J41" s="413"/>
      <c r="K41" s="405"/>
      <c r="M41" s="406"/>
      <c r="N41" s="407"/>
      <c r="O41" s="408"/>
      <c r="P41" s="414"/>
      <c r="Q41" s="406">
        <v>0</v>
      </c>
      <c r="R41" s="406">
        <v>0</v>
      </c>
      <c r="S41" s="409">
        <f t="shared" si="16"/>
        <v>0</v>
      </c>
      <c r="T41" s="415">
        <f t="shared" si="15"/>
        <v>0</v>
      </c>
    </row>
    <row r="42" spans="1:20" x14ac:dyDescent="0.15">
      <c r="A42" s="410"/>
      <c r="B42" s="390" t="s">
        <v>715</v>
      </c>
      <c r="C42" s="389" t="s">
        <v>304</v>
      </c>
      <c r="D42" s="396">
        <v>0.5</v>
      </c>
      <c r="E42" s="396">
        <v>12.31</v>
      </c>
      <c r="F42" s="396"/>
      <c r="G42" s="396"/>
      <c r="H42" s="393">
        <f>+D42*E42</f>
        <v>6.16</v>
      </c>
      <c r="I42" s="412">
        <v>175</v>
      </c>
      <c r="J42" s="413"/>
      <c r="K42" s="405"/>
      <c r="M42" s="406"/>
      <c r="N42" s="407"/>
      <c r="O42" s="408"/>
      <c r="P42" s="414"/>
      <c r="Q42" s="406">
        <v>0</v>
      </c>
      <c r="R42" s="406">
        <v>0</v>
      </c>
      <c r="S42" s="409">
        <f t="shared" si="16"/>
        <v>0</v>
      </c>
      <c r="T42" s="415">
        <f t="shared" si="15"/>
        <v>0</v>
      </c>
    </row>
    <row r="43" spans="1:20" x14ac:dyDescent="0.15">
      <c r="A43" s="410"/>
      <c r="B43" s="390" t="s">
        <v>716</v>
      </c>
      <c r="C43" s="389" t="s">
        <v>308</v>
      </c>
      <c r="D43" s="396"/>
      <c r="E43" s="396"/>
      <c r="F43" s="396"/>
      <c r="G43" s="396"/>
      <c r="H43" s="393">
        <v>2</v>
      </c>
      <c r="I43" s="412">
        <v>175</v>
      </c>
      <c r="J43" s="413"/>
      <c r="K43" s="405"/>
      <c r="M43" s="406"/>
      <c r="N43" s="407"/>
      <c r="O43" s="408"/>
      <c r="P43" s="414"/>
      <c r="Q43" s="406">
        <v>0</v>
      </c>
      <c r="R43" s="406">
        <v>0</v>
      </c>
      <c r="S43" s="409">
        <f t="shared" si="16"/>
        <v>0</v>
      </c>
      <c r="T43" s="415">
        <f t="shared" si="15"/>
        <v>0</v>
      </c>
    </row>
    <row r="44" spans="1:20" ht="6.75" customHeight="1" x14ac:dyDescent="0.15">
      <c r="K44" s="405"/>
      <c r="M44" s="406"/>
      <c r="N44" s="414"/>
      <c r="O44" s="408"/>
      <c r="P44" s="414"/>
      <c r="Q44" s="406"/>
      <c r="R44" s="406"/>
      <c r="S44" s="409"/>
      <c r="T44" s="415"/>
    </row>
    <row r="45" spans="1:20" x14ac:dyDescent="0.15">
      <c r="A45" s="410"/>
      <c r="C45" s="389"/>
      <c r="D45" s="396"/>
      <c r="E45" s="396"/>
      <c r="F45" s="396"/>
      <c r="G45" s="396"/>
      <c r="I45" s="412"/>
      <c r="J45" s="413"/>
      <c r="K45" s="405"/>
      <c r="M45" s="406"/>
      <c r="N45" s="407"/>
      <c r="O45" s="408"/>
      <c r="P45" s="414"/>
      <c r="Q45" s="406"/>
      <c r="R45" s="406"/>
      <c r="S45" s="409"/>
      <c r="T45" s="415"/>
    </row>
    <row r="46" spans="1:20" x14ac:dyDescent="0.15">
      <c r="A46" s="410"/>
      <c r="C46" s="389"/>
      <c r="D46" s="396"/>
      <c r="E46" s="396"/>
      <c r="F46" s="396"/>
      <c r="G46" s="396"/>
      <c r="I46" s="412"/>
      <c r="J46" s="413"/>
      <c r="K46" s="405"/>
      <c r="M46" s="406"/>
      <c r="N46" s="407"/>
      <c r="O46" s="408"/>
      <c r="P46" s="414"/>
      <c r="Q46" s="406"/>
      <c r="R46" s="406"/>
      <c r="S46" s="409"/>
      <c r="T46" s="415"/>
    </row>
    <row r="47" spans="1:20" x14ac:dyDescent="0.15">
      <c r="A47" s="410"/>
      <c r="C47" s="389"/>
      <c r="D47" s="396"/>
      <c r="E47" s="396"/>
      <c r="F47" s="396"/>
      <c r="G47" s="396"/>
      <c r="I47" s="412"/>
      <c r="J47" s="413"/>
      <c r="K47" s="405"/>
      <c r="M47" s="406"/>
      <c r="N47" s="407"/>
      <c r="O47" s="408"/>
      <c r="P47" s="414"/>
      <c r="Q47" s="406"/>
      <c r="R47" s="406"/>
      <c r="S47" s="409"/>
      <c r="T47" s="415"/>
    </row>
    <row r="48" spans="1:20" x14ac:dyDescent="0.15">
      <c r="A48" s="410"/>
      <c r="C48" s="389"/>
      <c r="D48" s="396"/>
      <c r="E48" s="396"/>
      <c r="F48" s="396"/>
      <c r="G48" s="396"/>
      <c r="I48" s="412"/>
      <c r="J48" s="413"/>
      <c r="K48" s="405"/>
      <c r="M48" s="406"/>
      <c r="N48" s="407"/>
      <c r="O48" s="408"/>
      <c r="P48" s="414"/>
      <c r="Q48" s="406"/>
      <c r="R48" s="406"/>
      <c r="S48" s="409"/>
      <c r="T48" s="415"/>
    </row>
    <row r="49" spans="1:20" x14ac:dyDescent="0.15">
      <c r="A49" s="410"/>
      <c r="C49" s="389"/>
      <c r="D49" s="396"/>
      <c r="E49" s="396"/>
      <c r="F49" s="396"/>
      <c r="G49" s="396"/>
      <c r="I49" s="412"/>
      <c r="J49" s="413"/>
      <c r="K49" s="405"/>
      <c r="M49" s="406"/>
      <c r="N49" s="407"/>
      <c r="O49" s="408"/>
      <c r="P49" s="414"/>
      <c r="Q49" s="406"/>
      <c r="R49" s="406"/>
      <c r="S49" s="409"/>
      <c r="T49" s="415"/>
    </row>
    <row r="50" spans="1:20" x14ac:dyDescent="0.15">
      <c r="A50" s="410"/>
      <c r="C50" s="389"/>
      <c r="D50" s="396"/>
      <c r="E50" s="396"/>
      <c r="F50" s="396"/>
      <c r="G50" s="396"/>
      <c r="I50" s="412"/>
      <c r="J50" s="413"/>
      <c r="K50" s="405"/>
      <c r="M50" s="406"/>
      <c r="N50" s="407"/>
      <c r="O50" s="408"/>
      <c r="P50" s="414"/>
      <c r="Q50" s="406"/>
      <c r="R50" s="406"/>
      <c r="S50" s="409"/>
      <c r="T50" s="415"/>
    </row>
    <row r="51" spans="1:20" x14ac:dyDescent="0.15">
      <c r="A51" s="410"/>
      <c r="C51" s="389"/>
      <c r="D51" s="396"/>
      <c r="E51" s="396"/>
      <c r="F51" s="396"/>
      <c r="G51" s="396"/>
      <c r="I51" s="412"/>
      <c r="J51" s="413"/>
      <c r="K51" s="405"/>
      <c r="M51" s="406"/>
      <c r="N51" s="407"/>
      <c r="O51" s="408"/>
      <c r="P51" s="414"/>
      <c r="Q51" s="406"/>
      <c r="R51" s="406"/>
      <c r="S51" s="409"/>
      <c r="T51" s="415"/>
    </row>
    <row r="52" spans="1:20" x14ac:dyDescent="0.15">
      <c r="A52" s="410"/>
      <c r="C52" s="389"/>
      <c r="D52" s="396"/>
      <c r="E52" s="396"/>
      <c r="F52" s="396"/>
      <c r="G52" s="396"/>
      <c r="I52" s="412"/>
      <c r="J52" s="413"/>
      <c r="K52" s="405"/>
      <c r="M52" s="406"/>
      <c r="N52" s="407"/>
      <c r="O52" s="408"/>
      <c r="P52" s="414"/>
      <c r="Q52" s="406"/>
      <c r="R52" s="406"/>
      <c r="S52" s="409"/>
      <c r="T52" s="415"/>
    </row>
    <row r="53" spans="1:20" x14ac:dyDescent="0.15">
      <c r="A53" s="410"/>
      <c r="C53" s="389"/>
      <c r="D53" s="396"/>
      <c r="E53" s="396"/>
      <c r="F53" s="396"/>
      <c r="G53" s="396"/>
      <c r="I53" s="412"/>
      <c r="J53" s="413"/>
      <c r="K53" s="405"/>
      <c r="M53" s="406"/>
      <c r="N53" s="407"/>
      <c r="O53" s="408"/>
      <c r="P53" s="414"/>
      <c r="Q53" s="406"/>
      <c r="R53" s="406"/>
      <c r="S53" s="409"/>
      <c r="T53" s="415"/>
    </row>
    <row r="54" spans="1:20" x14ac:dyDescent="0.15">
      <c r="A54" s="410"/>
      <c r="C54" s="389"/>
      <c r="D54" s="396"/>
      <c r="E54" s="396"/>
      <c r="F54" s="396"/>
      <c r="G54" s="396"/>
      <c r="I54" s="412"/>
      <c r="J54" s="413"/>
      <c r="K54" s="405"/>
      <c r="M54" s="406"/>
      <c r="N54" s="407"/>
      <c r="O54" s="408"/>
      <c r="P54" s="414"/>
      <c r="Q54" s="406"/>
      <c r="R54" s="406"/>
      <c r="S54" s="409"/>
      <c r="T54" s="415"/>
    </row>
    <row r="55" spans="1:20" x14ac:dyDescent="0.15">
      <c r="A55" s="410"/>
      <c r="C55" s="389"/>
      <c r="D55" s="396"/>
      <c r="E55" s="396"/>
      <c r="F55" s="396"/>
      <c r="G55" s="396"/>
      <c r="I55" s="412"/>
      <c r="J55" s="413"/>
      <c r="K55" s="405"/>
      <c r="M55" s="406"/>
      <c r="N55" s="407"/>
      <c r="O55" s="408"/>
      <c r="P55" s="414"/>
      <c r="Q55" s="406"/>
      <c r="R55" s="406"/>
      <c r="S55" s="409"/>
      <c r="T55" s="415"/>
    </row>
    <row r="56" spans="1:20" x14ac:dyDescent="0.15">
      <c r="A56" s="410"/>
      <c r="C56" s="389"/>
      <c r="D56" s="396"/>
      <c r="E56" s="396"/>
      <c r="F56" s="396"/>
      <c r="G56" s="396"/>
      <c r="I56" s="412"/>
      <c r="J56" s="413"/>
      <c r="K56" s="405"/>
      <c r="M56" s="406"/>
      <c r="N56" s="407"/>
      <c r="O56" s="408"/>
      <c r="P56" s="414"/>
      <c r="Q56" s="406"/>
      <c r="R56" s="406"/>
      <c r="S56" s="409"/>
      <c r="T56" s="415"/>
    </row>
    <row r="57" spans="1:20" x14ac:dyDescent="0.15">
      <c r="A57" s="410"/>
      <c r="C57" s="389"/>
      <c r="D57" s="396"/>
      <c r="E57" s="396"/>
      <c r="F57" s="396"/>
      <c r="G57" s="396"/>
      <c r="I57" s="412"/>
      <c r="J57" s="413"/>
      <c r="K57" s="405"/>
      <c r="M57" s="406"/>
      <c r="N57" s="407"/>
      <c r="O57" s="408"/>
      <c r="P57" s="414"/>
      <c r="Q57" s="406"/>
      <c r="R57" s="406"/>
      <c r="S57" s="409"/>
      <c r="T57" s="415"/>
    </row>
    <row r="58" spans="1:20" x14ac:dyDescent="0.15">
      <c r="A58" s="410"/>
      <c r="C58" s="389"/>
      <c r="D58" s="396"/>
      <c r="E58" s="396"/>
      <c r="F58" s="396"/>
      <c r="G58" s="396"/>
      <c r="I58" s="412"/>
      <c r="J58" s="413"/>
      <c r="K58" s="405"/>
      <c r="M58" s="406"/>
      <c r="N58" s="407"/>
      <c r="O58" s="408"/>
      <c r="P58" s="414"/>
      <c r="Q58" s="406"/>
      <c r="R58" s="406"/>
      <c r="S58" s="409"/>
      <c r="T58" s="415"/>
    </row>
    <row r="59" spans="1:20" x14ac:dyDescent="0.15">
      <c r="A59" s="410"/>
      <c r="C59" s="389"/>
      <c r="D59" s="396"/>
      <c r="E59" s="396"/>
      <c r="F59" s="396"/>
      <c r="G59" s="396"/>
      <c r="I59" s="412"/>
      <c r="J59" s="413"/>
      <c r="K59" s="405"/>
      <c r="M59" s="406"/>
      <c r="N59" s="407"/>
      <c r="O59" s="408"/>
      <c r="P59" s="414"/>
      <c r="Q59" s="406"/>
      <c r="R59" s="406"/>
      <c r="S59" s="409"/>
      <c r="T59" s="415"/>
    </row>
    <row r="60" spans="1:20" x14ac:dyDescent="0.15">
      <c r="A60" s="410"/>
      <c r="C60" s="389"/>
      <c r="D60" s="396"/>
      <c r="E60" s="396"/>
      <c r="F60" s="396"/>
      <c r="G60" s="396"/>
      <c r="I60" s="412"/>
      <c r="J60" s="413"/>
      <c r="K60" s="405"/>
      <c r="M60" s="406"/>
      <c r="N60" s="407"/>
      <c r="O60" s="408"/>
      <c r="P60" s="414"/>
      <c r="Q60" s="406"/>
      <c r="R60" s="406"/>
      <c r="S60" s="409"/>
      <c r="T60" s="415"/>
    </row>
    <row r="61" spans="1:20" ht="6.75" customHeight="1" x14ac:dyDescent="0.15">
      <c r="K61" s="405"/>
      <c r="M61" s="418"/>
      <c r="N61" s="419"/>
      <c r="O61" s="420"/>
      <c r="P61" s="419"/>
      <c r="Q61" s="418"/>
      <c r="R61" s="418"/>
      <c r="S61" s="421"/>
      <c r="T61" s="422"/>
    </row>
    <row r="62" spans="1:20" s="396" customFormat="1" x14ac:dyDescent="0.15">
      <c r="A62" s="389"/>
      <c r="B62" s="423"/>
      <c r="C62" s="424"/>
      <c r="H62" s="425"/>
      <c r="I62" s="412"/>
      <c r="J62" s="413"/>
      <c r="K62" s="395"/>
      <c r="L62" s="390"/>
      <c r="M62" s="362"/>
      <c r="N62" s="354"/>
      <c r="O62" s="363"/>
      <c r="P62" s="354"/>
      <c r="Q62" s="362"/>
      <c r="R62" s="362"/>
    </row>
    <row r="63" spans="1:20" s="396" customFormat="1" ht="6.75" customHeight="1" thickBot="1" x14ac:dyDescent="0.2">
      <c r="A63" s="389"/>
      <c r="B63" s="390"/>
      <c r="C63" s="391"/>
      <c r="H63" s="393"/>
      <c r="I63" s="394"/>
      <c r="J63" s="391"/>
      <c r="K63" s="405"/>
      <c r="L63" s="390"/>
      <c r="N63" s="390"/>
      <c r="O63" s="390"/>
      <c r="P63" s="500"/>
      <c r="Q63" s="390"/>
      <c r="R63" s="390"/>
      <c r="S63" s="390"/>
    </row>
    <row r="64" spans="1:20" s="396" customFormat="1" ht="16" thickBot="1" x14ac:dyDescent="0.2">
      <c r="A64" s="389"/>
      <c r="B64" s="390"/>
      <c r="C64" s="391"/>
      <c r="D64" s="392"/>
      <c r="E64" s="392"/>
      <c r="F64" s="392"/>
      <c r="G64" s="604" t="s">
        <v>569</v>
      </c>
      <c r="H64" s="605"/>
      <c r="I64" s="606"/>
      <c r="J64" s="426">
        <f>SUM(J3:J62)</f>
        <v>0</v>
      </c>
      <c r="K64" s="395"/>
      <c r="L64" s="390"/>
      <c r="P64" s="502"/>
      <c r="S64" s="368"/>
      <c r="T64" s="427">
        <f>SUM(T1:T60)</f>
        <v>0</v>
      </c>
    </row>
    <row r="65" spans="2:21" ht="16" thickBot="1" x14ac:dyDescent="0.2">
      <c r="G65" s="607" t="s">
        <v>570</v>
      </c>
      <c r="H65" s="608"/>
      <c r="I65" s="609"/>
      <c r="J65" s="426">
        <v>0</v>
      </c>
      <c r="M65" s="390"/>
    </row>
    <row r="66" spans="2:21" ht="16" thickBot="1" x14ac:dyDescent="0.2">
      <c r="G66" s="610" t="s">
        <v>569</v>
      </c>
      <c r="H66" s="611"/>
      <c r="I66" s="612"/>
      <c r="J66" s="426">
        <f>J65+J64</f>
        <v>0</v>
      </c>
      <c r="M66" s="390"/>
    </row>
    <row r="67" spans="2:21" s="389" customFormat="1" ht="6.75" customHeight="1" x14ac:dyDescent="0.15">
      <c r="B67" s="390"/>
      <c r="C67" s="391"/>
      <c r="D67" s="392"/>
      <c r="E67" s="392"/>
      <c r="F67" s="392"/>
      <c r="G67" s="392"/>
      <c r="H67" s="393"/>
      <c r="I67" s="394"/>
      <c r="J67" s="391"/>
      <c r="K67" s="395"/>
      <c r="L67" s="390"/>
      <c r="M67" s="396"/>
      <c r="N67" s="390"/>
      <c r="O67" s="390"/>
      <c r="P67" s="500"/>
      <c r="Q67" s="390"/>
      <c r="R67" s="390"/>
      <c r="S67" s="390"/>
      <c r="T67" s="390"/>
      <c r="U67" s="390"/>
    </row>
    <row r="72" spans="2:21" s="389" customFormat="1" ht="6.75" customHeight="1" x14ac:dyDescent="0.15">
      <c r="B72" s="390"/>
      <c r="C72" s="391"/>
      <c r="D72" s="392"/>
      <c r="E72" s="392"/>
      <c r="F72" s="392"/>
      <c r="G72" s="392"/>
      <c r="H72" s="393"/>
      <c r="I72" s="394"/>
      <c r="J72" s="391"/>
      <c r="K72" s="395"/>
      <c r="L72" s="390"/>
      <c r="M72" s="396"/>
      <c r="N72" s="390"/>
      <c r="O72" s="390"/>
      <c r="P72" s="500"/>
      <c r="Q72" s="390"/>
      <c r="R72" s="390"/>
      <c r="S72" s="390"/>
      <c r="T72" s="390"/>
      <c r="U72" s="390"/>
    </row>
  </sheetData>
  <mergeCells count="3">
    <mergeCell ref="G64:I64"/>
    <mergeCell ref="G65:I65"/>
    <mergeCell ref="G66:I6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BF11-0172-4783-A9F5-B9BFF0A546B3}">
  <sheetPr>
    <tabColor theme="9"/>
  </sheetPr>
  <dimension ref="A1:V174"/>
  <sheetViews>
    <sheetView zoomScale="110" zoomScaleNormal="110" workbookViewId="0">
      <selection activeCell="I66" sqref="I66:V66"/>
    </sheetView>
  </sheetViews>
  <sheetFormatPr baseColWidth="10" defaultColWidth="9.1640625" defaultRowHeight="15" outlineLevelCol="2" x14ac:dyDescent="0.15"/>
  <cols>
    <col min="1" max="1" width="9.1640625" style="516"/>
    <col min="2" max="2" width="102" style="517" customWidth="1"/>
    <col min="3" max="3" width="9.1640625" style="518"/>
    <col min="4" max="4" width="7.83203125" style="519" bestFit="1" customWidth="1" outlineLevel="2"/>
    <col min="5" max="5" width="7.1640625" style="519" bestFit="1" customWidth="1" outlineLevel="2"/>
    <col min="6" max="6" width="6.1640625" style="519" customWidth="1" outlineLevel="2"/>
    <col min="7" max="7" width="7.1640625" style="519" bestFit="1" customWidth="1" outlineLevel="2"/>
    <col min="8" max="8" width="9.1640625" style="520"/>
    <col min="9" max="9" width="12.5" style="521" bestFit="1" customWidth="1"/>
    <col min="10" max="10" width="13" style="518" bestFit="1" customWidth="1"/>
    <col min="11" max="11" width="31.1640625" style="522" bestFit="1" customWidth="1"/>
    <col min="12" max="12" width="9.1640625" style="517"/>
    <col min="13" max="13" width="5.5" style="523" bestFit="1" customWidth="1"/>
    <col min="14" max="14" width="7.5" style="517" bestFit="1" customWidth="1"/>
    <col min="15" max="15" width="7.6640625" style="517" bestFit="1" customWidth="1"/>
    <col min="16" max="16" width="8" style="524" bestFit="1" customWidth="1"/>
    <col min="17" max="17" width="7.5" style="525" bestFit="1" customWidth="1"/>
    <col min="18" max="18" width="6.33203125" style="517" bestFit="1" customWidth="1"/>
    <col min="19" max="19" width="8.1640625" style="517" bestFit="1" customWidth="1"/>
    <col min="20" max="20" width="12.6640625" style="517" bestFit="1" customWidth="1"/>
    <col min="21" max="21" width="9.1640625" style="517"/>
    <col min="22" max="22" width="10.83203125" style="517" bestFit="1" customWidth="1"/>
    <col min="23" max="16384" width="9.1640625" style="517"/>
  </cols>
  <sheetData>
    <row r="1" spans="1:20" ht="6.75" customHeight="1" thickBot="1" x14ac:dyDescent="0.2"/>
    <row r="2" spans="1:20" ht="16" thickBot="1" x14ac:dyDescent="0.2">
      <c r="A2" s="526" t="s">
        <v>565</v>
      </c>
      <c r="B2" s="527" t="s">
        <v>736</v>
      </c>
      <c r="C2" s="527"/>
      <c r="D2" s="528"/>
      <c r="E2" s="528"/>
      <c r="F2" s="528"/>
      <c r="G2" s="528"/>
      <c r="H2" s="529"/>
      <c r="I2" s="530"/>
      <c r="J2" s="527"/>
      <c r="K2" s="531">
        <f>SUM(J3:J41)</f>
        <v>-3226.61</v>
      </c>
      <c r="M2" s="403" t="s">
        <v>511</v>
      </c>
      <c r="N2" s="482" t="s">
        <v>512</v>
      </c>
      <c r="O2" s="404" t="s">
        <v>513</v>
      </c>
      <c r="P2" s="501" t="s">
        <v>514</v>
      </c>
      <c r="Q2" s="512" t="s">
        <v>515</v>
      </c>
      <c r="R2" s="403" t="s">
        <v>516</v>
      </c>
      <c r="S2" s="403" t="s">
        <v>509</v>
      </c>
      <c r="T2" s="343" t="s">
        <v>510</v>
      </c>
    </row>
    <row r="3" spans="1:20" ht="6.75" customHeight="1" x14ac:dyDescent="0.15">
      <c r="K3" s="532"/>
      <c r="M3" s="406"/>
      <c r="N3" s="407"/>
      <c r="O3" s="408"/>
      <c r="P3" s="416"/>
      <c r="Q3" s="408"/>
      <c r="R3" s="406"/>
      <c r="S3" s="409"/>
      <c r="T3" s="189"/>
    </row>
    <row r="4" spans="1:20" ht="32" x14ac:dyDescent="0.15">
      <c r="A4" s="533" t="s">
        <v>40</v>
      </c>
      <c r="B4" s="534" t="s">
        <v>690</v>
      </c>
      <c r="C4" s="516"/>
      <c r="D4" s="523"/>
      <c r="E4" s="523"/>
      <c r="F4" s="523"/>
      <c r="G4" s="523"/>
      <c r="I4" s="535"/>
      <c r="J4" s="536"/>
      <c r="K4" s="532" t="s">
        <v>737</v>
      </c>
      <c r="M4" s="406"/>
      <c r="N4" s="414"/>
      <c r="O4" s="408"/>
      <c r="P4" s="416"/>
      <c r="Q4" s="408"/>
      <c r="R4" s="406"/>
      <c r="S4" s="409"/>
      <c r="T4" s="189"/>
    </row>
    <row r="5" spans="1:20" ht="6.75" customHeight="1" x14ac:dyDescent="0.15">
      <c r="K5" s="532"/>
      <c r="M5" s="406"/>
      <c r="N5" s="414"/>
      <c r="O5" s="408"/>
      <c r="P5" s="416"/>
      <c r="Q5" s="408"/>
      <c r="R5" s="406"/>
      <c r="S5" s="409"/>
      <c r="T5" s="415"/>
    </row>
    <row r="6" spans="1:20" ht="16" x14ac:dyDescent="0.15">
      <c r="A6" s="533" t="s">
        <v>10</v>
      </c>
      <c r="B6" s="534" t="s">
        <v>738</v>
      </c>
      <c r="C6" s="516"/>
      <c r="D6" s="523"/>
      <c r="E6" s="523"/>
      <c r="F6" s="523"/>
      <c r="G6" s="523"/>
      <c r="I6" s="535"/>
      <c r="J6" s="536"/>
      <c r="K6" s="532" t="s">
        <v>739</v>
      </c>
      <c r="M6" s="406"/>
      <c r="N6" s="414"/>
      <c r="O6" s="408"/>
      <c r="P6" s="416"/>
      <c r="Q6" s="408"/>
      <c r="R6" s="406"/>
      <c r="S6" s="409"/>
      <c r="T6" s="189"/>
    </row>
    <row r="7" spans="1:20" x14ac:dyDescent="0.15">
      <c r="A7" s="533" t="s">
        <v>740</v>
      </c>
      <c r="B7" s="537" t="s">
        <v>579</v>
      </c>
      <c r="C7" s="538"/>
      <c r="D7" s="539"/>
      <c r="E7" s="539"/>
      <c r="F7" s="539"/>
      <c r="G7" s="539"/>
      <c r="H7"/>
      <c r="I7" s="540"/>
      <c r="J7" s="541"/>
      <c r="K7" s="542"/>
      <c r="M7" s="406"/>
      <c r="N7" s="414"/>
      <c r="O7" s="408"/>
      <c r="P7" s="416"/>
      <c r="Q7" s="408"/>
      <c r="R7" s="406"/>
      <c r="S7" s="409"/>
      <c r="T7" s="415"/>
    </row>
    <row r="8" spans="1:20" x14ac:dyDescent="0.15">
      <c r="A8" s="533"/>
      <c r="B8" s="537" t="s">
        <v>580</v>
      </c>
      <c r="C8" s="538" t="s">
        <v>304</v>
      </c>
      <c r="D8" s="539">
        <v>0.61</v>
      </c>
      <c r="E8" s="539"/>
      <c r="F8" s="539"/>
      <c r="G8" s="539"/>
      <c r="H8" s="543">
        <f>-D8</f>
        <v>-0.61</v>
      </c>
      <c r="I8" s="540">
        <v>313.76</v>
      </c>
      <c r="J8" s="536">
        <f t="shared" ref="J8:J25" si="0">I8*H8</f>
        <v>-191.39</v>
      </c>
      <c r="K8" s="542"/>
      <c r="M8" s="406"/>
      <c r="N8" s="414"/>
      <c r="O8" s="408"/>
      <c r="P8" s="416"/>
      <c r="Q8" s="408">
        <v>1</v>
      </c>
      <c r="R8" s="406"/>
      <c r="S8" s="409">
        <f t="shared" ref="S8:S12" si="1">SUM(M8:R8)</f>
        <v>1</v>
      </c>
      <c r="T8" s="415">
        <f t="shared" ref="T8:T12" si="2">S8*J8</f>
        <v>-191.39</v>
      </c>
    </row>
    <row r="9" spans="1:20" x14ac:dyDescent="0.15">
      <c r="A9" s="533"/>
      <c r="B9" s="537" t="s">
        <v>581</v>
      </c>
      <c r="C9" s="538" t="s">
        <v>297</v>
      </c>
      <c r="D9" s="539">
        <v>5.73</v>
      </c>
      <c r="E9" s="539"/>
      <c r="F9" s="539"/>
      <c r="G9" s="539"/>
      <c r="H9" s="543">
        <f t="shared" ref="H9:H22" si="3">-D9</f>
        <v>-5.73</v>
      </c>
      <c r="I9" s="540">
        <v>59.56</v>
      </c>
      <c r="J9" s="536">
        <f t="shared" si="0"/>
        <v>-341.28</v>
      </c>
      <c r="K9" s="542"/>
      <c r="M9" s="406"/>
      <c r="N9" s="414"/>
      <c r="O9" s="408"/>
      <c r="P9" s="416"/>
      <c r="Q9" s="408">
        <v>1</v>
      </c>
      <c r="R9" s="406"/>
      <c r="S9" s="409">
        <f t="shared" si="1"/>
        <v>1</v>
      </c>
      <c r="T9" s="415">
        <f t="shared" si="2"/>
        <v>-341.28</v>
      </c>
    </row>
    <row r="10" spans="1:20" x14ac:dyDescent="0.15">
      <c r="A10" s="533"/>
      <c r="B10" s="537" t="s">
        <v>582</v>
      </c>
      <c r="C10" s="538" t="s">
        <v>305</v>
      </c>
      <c r="D10" s="539">
        <v>38.9</v>
      </c>
      <c r="E10" s="539"/>
      <c r="F10" s="539"/>
      <c r="G10" s="539"/>
      <c r="H10" s="543">
        <f t="shared" si="3"/>
        <v>-38.9</v>
      </c>
      <c r="I10" s="540">
        <v>4.8499999999999996</v>
      </c>
      <c r="J10" s="536">
        <f t="shared" si="0"/>
        <v>-188.67</v>
      </c>
      <c r="K10" s="542"/>
      <c r="M10" s="406"/>
      <c r="N10" s="414"/>
      <c r="O10" s="408"/>
      <c r="P10" s="416"/>
      <c r="Q10" s="408">
        <v>1</v>
      </c>
      <c r="R10" s="406"/>
      <c r="S10" s="409">
        <f t="shared" si="1"/>
        <v>1</v>
      </c>
      <c r="T10" s="415">
        <f t="shared" si="2"/>
        <v>-188.67</v>
      </c>
    </row>
    <row r="11" spans="1:20" x14ac:dyDescent="0.15">
      <c r="A11" s="533"/>
      <c r="B11" s="537" t="s">
        <v>583</v>
      </c>
      <c r="C11" s="538" t="s">
        <v>305</v>
      </c>
      <c r="D11" s="539">
        <v>52.6</v>
      </c>
      <c r="E11" s="539"/>
      <c r="F11" s="539"/>
      <c r="G11" s="539"/>
      <c r="H11" s="543">
        <f t="shared" si="3"/>
        <v>-52.6</v>
      </c>
      <c r="I11" s="540">
        <v>4.05</v>
      </c>
      <c r="J11" s="536">
        <f t="shared" si="0"/>
        <v>-213.03</v>
      </c>
      <c r="K11" s="542"/>
      <c r="M11" s="406"/>
      <c r="N11" s="414"/>
      <c r="O11" s="408"/>
      <c r="P11" s="416"/>
      <c r="Q11" s="408">
        <v>1</v>
      </c>
      <c r="R11" s="406"/>
      <c r="S11" s="409">
        <f t="shared" si="1"/>
        <v>1</v>
      </c>
      <c r="T11" s="415">
        <f t="shared" si="2"/>
        <v>-213.03</v>
      </c>
    </row>
    <row r="12" spans="1:20" x14ac:dyDescent="0.15">
      <c r="A12" s="533"/>
      <c r="B12" s="537" t="s">
        <v>586</v>
      </c>
      <c r="C12" s="538" t="s">
        <v>297</v>
      </c>
      <c r="D12" s="539">
        <v>0.55000000000000004</v>
      </c>
      <c r="E12" s="539"/>
      <c r="F12" s="539"/>
      <c r="G12" s="539"/>
      <c r="H12" s="543">
        <f t="shared" si="3"/>
        <v>-0.55000000000000004</v>
      </c>
      <c r="I12" s="540">
        <v>12.36</v>
      </c>
      <c r="J12" s="536">
        <f t="shared" si="0"/>
        <v>-6.8</v>
      </c>
      <c r="K12" s="542"/>
      <c r="M12" s="406"/>
      <c r="N12" s="414"/>
      <c r="O12" s="408"/>
      <c r="P12" s="416"/>
      <c r="Q12" s="408">
        <v>1</v>
      </c>
      <c r="R12" s="406"/>
      <c r="S12" s="409">
        <f t="shared" si="1"/>
        <v>1</v>
      </c>
      <c r="T12" s="415">
        <f t="shared" si="2"/>
        <v>-6.8</v>
      </c>
    </row>
    <row r="13" spans="1:20" x14ac:dyDescent="0.15">
      <c r="A13" s="533" t="s">
        <v>741</v>
      </c>
      <c r="B13" s="537" t="s">
        <v>589</v>
      </c>
      <c r="C13" s="538"/>
      <c r="D13" s="539"/>
      <c r="E13" s="539"/>
      <c r="F13" s="539"/>
      <c r="G13" s="539"/>
      <c r="H13"/>
      <c r="I13" s="540"/>
      <c r="J13" s="541"/>
      <c r="K13" s="542"/>
      <c r="M13" s="406"/>
      <c r="N13" s="414"/>
      <c r="O13" s="408"/>
      <c r="P13" s="416"/>
      <c r="Q13" s="408"/>
      <c r="R13" s="406"/>
      <c r="S13" s="409"/>
      <c r="T13" s="189"/>
    </row>
    <row r="14" spans="1:20" x14ac:dyDescent="0.15">
      <c r="A14" s="533"/>
      <c r="B14" s="537" t="s">
        <v>580</v>
      </c>
      <c r="C14" s="538" t="s">
        <v>304</v>
      </c>
      <c r="D14" s="539">
        <v>2.15</v>
      </c>
      <c r="E14" s="539"/>
      <c r="F14" s="539"/>
      <c r="G14" s="539"/>
      <c r="H14" s="543">
        <f t="shared" si="3"/>
        <v>-2.15</v>
      </c>
      <c r="I14" s="540">
        <v>313.76</v>
      </c>
      <c r="J14" s="536">
        <f t="shared" si="0"/>
        <v>-674.58</v>
      </c>
      <c r="K14" s="542"/>
      <c r="M14" s="406"/>
      <c r="N14" s="414"/>
      <c r="O14" s="408"/>
      <c r="P14" s="416"/>
      <c r="Q14" s="408">
        <v>1</v>
      </c>
      <c r="R14" s="406"/>
      <c r="S14" s="409">
        <f t="shared" ref="S14:S17" si="4">SUM(M14:R14)</f>
        <v>1</v>
      </c>
      <c r="T14" s="415">
        <f t="shared" ref="T14:T17" si="5">S14*J14</f>
        <v>-674.58</v>
      </c>
    </row>
    <row r="15" spans="1:20" x14ac:dyDescent="0.15">
      <c r="A15" s="533"/>
      <c r="B15" s="537" t="s">
        <v>581</v>
      </c>
      <c r="C15" s="538" t="s">
        <v>297</v>
      </c>
      <c r="D15" s="539">
        <v>0.57999999999999996</v>
      </c>
      <c r="E15" s="539"/>
      <c r="F15" s="539"/>
      <c r="G15" s="539"/>
      <c r="H15" s="543">
        <f t="shared" si="3"/>
        <v>-0.57999999999999996</v>
      </c>
      <c r="I15" s="540">
        <v>59.56</v>
      </c>
      <c r="J15" s="536">
        <f t="shared" si="0"/>
        <v>-34.54</v>
      </c>
      <c r="K15" s="542"/>
      <c r="M15" s="406"/>
      <c r="N15" s="414"/>
      <c r="O15" s="408"/>
      <c r="P15" s="416"/>
      <c r="Q15" s="408">
        <v>1</v>
      </c>
      <c r="R15" s="406"/>
      <c r="S15" s="409">
        <f t="shared" si="4"/>
        <v>1</v>
      </c>
      <c r="T15" s="415">
        <f t="shared" si="5"/>
        <v>-34.54</v>
      </c>
    </row>
    <row r="16" spans="1:20" x14ac:dyDescent="0.15">
      <c r="A16" s="533"/>
      <c r="B16" s="537" t="s">
        <v>583</v>
      </c>
      <c r="C16" s="538" t="s">
        <v>305</v>
      </c>
      <c r="D16" s="539">
        <v>110.1</v>
      </c>
      <c r="E16" s="539"/>
      <c r="F16" s="539"/>
      <c r="G16" s="539"/>
      <c r="H16" s="543">
        <f t="shared" si="3"/>
        <v>-110.1</v>
      </c>
      <c r="I16" s="540">
        <v>4.05</v>
      </c>
      <c r="J16" s="536">
        <f t="shared" si="0"/>
        <v>-445.91</v>
      </c>
      <c r="K16" s="542"/>
      <c r="M16" s="406"/>
      <c r="N16" s="414"/>
      <c r="O16" s="408"/>
      <c r="P16" s="416"/>
      <c r="Q16" s="408">
        <v>1</v>
      </c>
      <c r="R16" s="406"/>
      <c r="S16" s="409">
        <f t="shared" si="4"/>
        <v>1</v>
      </c>
      <c r="T16" s="415">
        <f t="shared" si="5"/>
        <v>-445.91</v>
      </c>
    </row>
    <row r="17" spans="1:20" x14ac:dyDescent="0.15">
      <c r="A17" s="533"/>
      <c r="B17" s="537" t="s">
        <v>586</v>
      </c>
      <c r="C17" s="538" t="s">
        <v>297</v>
      </c>
      <c r="D17" s="539">
        <v>14.36</v>
      </c>
      <c r="E17" s="539"/>
      <c r="F17" s="539"/>
      <c r="G17" s="539"/>
      <c r="H17" s="543">
        <f t="shared" si="3"/>
        <v>-14.36</v>
      </c>
      <c r="I17" s="540">
        <v>12.36</v>
      </c>
      <c r="J17" s="536">
        <f t="shared" si="0"/>
        <v>-177.49</v>
      </c>
      <c r="K17" s="542"/>
      <c r="M17" s="406"/>
      <c r="N17" s="414"/>
      <c r="O17" s="408"/>
      <c r="P17" s="416"/>
      <c r="Q17" s="408">
        <v>1</v>
      </c>
      <c r="R17" s="406"/>
      <c r="S17" s="409">
        <f t="shared" si="4"/>
        <v>1</v>
      </c>
      <c r="T17" s="415">
        <f t="shared" si="5"/>
        <v>-177.49</v>
      </c>
    </row>
    <row r="18" spans="1:20" x14ac:dyDescent="0.15">
      <c r="A18" s="533" t="s">
        <v>742</v>
      </c>
      <c r="B18" s="537" t="s">
        <v>590</v>
      </c>
      <c r="C18" s="538"/>
      <c r="D18" s="539"/>
      <c r="E18" s="539"/>
      <c r="F18" s="539"/>
      <c r="G18" s="539"/>
      <c r="H18"/>
      <c r="I18" s="540"/>
      <c r="J18" s="541"/>
      <c r="K18" s="542"/>
      <c r="M18" s="406"/>
      <c r="N18" s="414"/>
      <c r="O18" s="408"/>
      <c r="P18" s="416"/>
      <c r="Q18" s="408"/>
      <c r="R18" s="406"/>
      <c r="S18" s="409"/>
      <c r="T18" s="189"/>
    </row>
    <row r="19" spans="1:20" x14ac:dyDescent="0.15">
      <c r="A19" s="533"/>
      <c r="B19" s="537" t="s">
        <v>580</v>
      </c>
      <c r="C19" s="538" t="s">
        <v>304</v>
      </c>
      <c r="D19" s="539">
        <v>1.1200000000000001</v>
      </c>
      <c r="E19" s="539"/>
      <c r="F19" s="539"/>
      <c r="G19" s="539"/>
      <c r="H19" s="543">
        <f t="shared" si="3"/>
        <v>-1.1200000000000001</v>
      </c>
      <c r="I19" s="540">
        <v>59.56</v>
      </c>
      <c r="J19" s="536">
        <f t="shared" si="0"/>
        <v>-66.709999999999994</v>
      </c>
      <c r="K19" s="542"/>
      <c r="M19" s="406"/>
      <c r="N19" s="414"/>
      <c r="O19" s="408"/>
      <c r="P19" s="416"/>
      <c r="Q19" s="408">
        <v>1</v>
      </c>
      <c r="R19" s="406"/>
      <c r="S19" s="409">
        <f t="shared" ref="S19:S23" si="6">SUM(M19:R19)</f>
        <v>1</v>
      </c>
      <c r="T19" s="415">
        <f t="shared" ref="T19:T23" si="7">S19*J19</f>
        <v>-66.709999999999994</v>
      </c>
    </row>
    <row r="20" spans="1:20" x14ac:dyDescent="0.15">
      <c r="A20" s="533"/>
      <c r="B20" s="537" t="s">
        <v>581</v>
      </c>
      <c r="C20" s="538" t="s">
        <v>297</v>
      </c>
      <c r="D20" s="539">
        <v>1.23</v>
      </c>
      <c r="E20" s="539"/>
      <c r="F20" s="539"/>
      <c r="G20" s="539"/>
      <c r="H20" s="543">
        <f t="shared" si="3"/>
        <v>-1.23</v>
      </c>
      <c r="I20" s="540">
        <v>4.8499999999999996</v>
      </c>
      <c r="J20" s="536">
        <f t="shared" si="0"/>
        <v>-5.97</v>
      </c>
      <c r="K20" s="542"/>
      <c r="M20" s="406"/>
      <c r="N20" s="414"/>
      <c r="O20" s="408"/>
      <c r="P20" s="416"/>
      <c r="Q20" s="408">
        <v>1</v>
      </c>
      <c r="R20" s="406"/>
      <c r="S20" s="409">
        <f t="shared" si="6"/>
        <v>1</v>
      </c>
      <c r="T20" s="415">
        <f t="shared" si="7"/>
        <v>-5.97</v>
      </c>
    </row>
    <row r="21" spans="1:20" x14ac:dyDescent="0.15">
      <c r="A21" s="533"/>
      <c r="B21" s="537" t="s">
        <v>583</v>
      </c>
      <c r="C21" s="538" t="s">
        <v>305</v>
      </c>
      <c r="D21" s="539">
        <v>78.8</v>
      </c>
      <c r="E21" s="539"/>
      <c r="F21" s="539"/>
      <c r="G21" s="539"/>
      <c r="H21" s="543">
        <f t="shared" si="3"/>
        <v>-78.8</v>
      </c>
      <c r="I21" s="540">
        <v>12.36</v>
      </c>
      <c r="J21" s="536">
        <f t="shared" si="0"/>
        <v>-973.97</v>
      </c>
      <c r="K21" s="542"/>
      <c r="M21" s="406"/>
      <c r="N21" s="414"/>
      <c r="O21" s="408"/>
      <c r="P21" s="416"/>
      <c r="Q21" s="408">
        <v>1</v>
      </c>
      <c r="R21" s="406"/>
      <c r="S21" s="409">
        <f t="shared" si="6"/>
        <v>1</v>
      </c>
      <c r="T21" s="415">
        <f t="shared" si="7"/>
        <v>-973.97</v>
      </c>
    </row>
    <row r="22" spans="1:20" x14ac:dyDescent="0.15">
      <c r="A22" s="533"/>
      <c r="B22" s="537" t="s">
        <v>586</v>
      </c>
      <c r="C22" s="538" t="s">
        <v>297</v>
      </c>
      <c r="D22" s="539">
        <v>5.6</v>
      </c>
      <c r="E22" s="539"/>
      <c r="F22" s="539"/>
      <c r="G22" s="539"/>
      <c r="H22" s="543">
        <f t="shared" si="3"/>
        <v>-5.6</v>
      </c>
      <c r="I22" s="540">
        <v>75</v>
      </c>
      <c r="J22" s="536">
        <f t="shared" si="0"/>
        <v>-420</v>
      </c>
      <c r="K22" s="542"/>
      <c r="M22" s="406"/>
      <c r="N22" s="414"/>
      <c r="O22" s="408"/>
      <c r="P22" s="416"/>
      <c r="Q22" s="408">
        <v>1</v>
      </c>
      <c r="R22" s="406"/>
      <c r="S22" s="409">
        <f t="shared" si="6"/>
        <v>1</v>
      </c>
      <c r="T22" s="415">
        <f t="shared" si="7"/>
        <v>-420</v>
      </c>
    </row>
    <row r="23" spans="1:20" ht="16" x14ac:dyDescent="0.15">
      <c r="A23" s="533" t="s">
        <v>743</v>
      </c>
      <c r="B23" s="537" t="s">
        <v>598</v>
      </c>
      <c r="C23" s="538" t="s">
        <v>297</v>
      </c>
      <c r="D23" s="539"/>
      <c r="E23" s="539"/>
      <c r="F23" s="539"/>
      <c r="G23" s="539"/>
      <c r="H23" s="543">
        <v>-9.2799999999999994</v>
      </c>
      <c r="I23" s="540">
        <v>78.62</v>
      </c>
      <c r="J23" s="536">
        <f t="shared" si="0"/>
        <v>-729.59</v>
      </c>
      <c r="K23" s="542" t="s">
        <v>599</v>
      </c>
      <c r="M23" s="406"/>
      <c r="N23" s="414"/>
      <c r="O23" s="408"/>
      <c r="P23" s="416"/>
      <c r="Q23" s="408">
        <v>1</v>
      </c>
      <c r="R23" s="406"/>
      <c r="S23" s="409">
        <f t="shared" si="6"/>
        <v>1</v>
      </c>
      <c r="T23" s="415">
        <f t="shared" si="7"/>
        <v>-729.59</v>
      </c>
    </row>
    <row r="24" spans="1:20" ht="16" x14ac:dyDescent="0.15">
      <c r="A24" s="533" t="s">
        <v>744</v>
      </c>
      <c r="B24" s="537" t="s">
        <v>593</v>
      </c>
      <c r="C24" s="538" t="s">
        <v>307</v>
      </c>
      <c r="D24" s="539"/>
      <c r="E24" s="539"/>
      <c r="F24" s="539"/>
      <c r="G24" s="539"/>
      <c r="H24" s="543">
        <v>2.2999999999999998</v>
      </c>
      <c r="I24" s="540">
        <v>144.13</v>
      </c>
      <c r="J24" s="541"/>
      <c r="K24" s="532" t="s">
        <v>745</v>
      </c>
      <c r="M24" s="406"/>
      <c r="N24" s="414"/>
      <c r="O24" s="408"/>
      <c r="P24" s="416"/>
      <c r="Q24" s="408"/>
      <c r="R24" s="406"/>
      <c r="S24" s="409"/>
      <c r="T24" s="189"/>
    </row>
    <row r="25" spans="1:20" x14ac:dyDescent="0.15">
      <c r="A25" s="533" t="s">
        <v>746</v>
      </c>
      <c r="B25" s="537" t="s">
        <v>625</v>
      </c>
      <c r="C25" s="538" t="s">
        <v>297</v>
      </c>
      <c r="D25" s="539">
        <v>20.51</v>
      </c>
      <c r="E25" s="539"/>
      <c r="F25" s="539"/>
      <c r="G25" s="539"/>
      <c r="H25" s="543">
        <v>-9.2799999999999994</v>
      </c>
      <c r="I25" s="540">
        <v>4.3499999999999996</v>
      </c>
      <c r="J25" s="536">
        <f t="shared" si="0"/>
        <v>-40.369999999999997</v>
      </c>
      <c r="K25" s="532"/>
      <c r="M25" s="406"/>
      <c r="N25" s="414"/>
      <c r="O25" s="408"/>
      <c r="P25" s="416"/>
      <c r="Q25" s="408">
        <v>1</v>
      </c>
      <c r="R25" s="406"/>
      <c r="S25" s="409">
        <f t="shared" ref="S25" si="8">SUM(M25:R25)</f>
        <v>1</v>
      </c>
      <c r="T25" s="415">
        <f t="shared" ref="T25" si="9">S25*J25</f>
        <v>-40.369999999999997</v>
      </c>
    </row>
    <row r="26" spans="1:20" ht="16" x14ac:dyDescent="0.15">
      <c r="A26" s="533" t="s">
        <v>747</v>
      </c>
      <c r="B26" s="537" t="s">
        <v>626</v>
      </c>
      <c r="C26" s="538" t="s">
        <v>385</v>
      </c>
      <c r="D26" s="539"/>
      <c r="E26" s="539"/>
      <c r="F26" s="539"/>
      <c r="G26" s="539"/>
      <c r="H26" s="543">
        <v>1</v>
      </c>
      <c r="I26" s="540">
        <v>200</v>
      </c>
      <c r="J26" s="541"/>
      <c r="K26" s="532" t="s">
        <v>745</v>
      </c>
      <c r="M26" s="406"/>
      <c r="N26" s="414"/>
      <c r="O26" s="408"/>
      <c r="P26" s="416"/>
      <c r="Q26" s="408"/>
      <c r="R26" s="406"/>
      <c r="S26" s="409"/>
      <c r="T26" s="189"/>
    </row>
    <row r="27" spans="1:20" ht="16" x14ac:dyDescent="0.15">
      <c r="A27" s="533" t="s">
        <v>748</v>
      </c>
      <c r="B27" s="537" t="s">
        <v>627</v>
      </c>
      <c r="C27" s="538" t="s">
        <v>304</v>
      </c>
      <c r="D27" s="539">
        <v>2.73</v>
      </c>
      <c r="E27" s="539"/>
      <c r="F27" s="539"/>
      <c r="G27" s="539"/>
      <c r="H27" s="543">
        <v>2.73</v>
      </c>
      <c r="I27" s="540">
        <v>265</v>
      </c>
      <c r="J27" s="541"/>
      <c r="K27" s="532" t="s">
        <v>745</v>
      </c>
      <c r="M27" s="406"/>
      <c r="N27" s="414"/>
      <c r="O27" s="408"/>
      <c r="P27" s="416"/>
      <c r="Q27" s="408"/>
      <c r="R27" s="406"/>
      <c r="S27" s="409"/>
      <c r="T27" s="189"/>
    </row>
    <row r="28" spans="1:20" x14ac:dyDescent="0.15">
      <c r="A28" s="533" t="s">
        <v>749</v>
      </c>
      <c r="B28" s="537" t="s">
        <v>629</v>
      </c>
      <c r="C28" s="538" t="s">
        <v>385</v>
      </c>
      <c r="D28" s="539"/>
      <c r="E28" s="539"/>
      <c r="F28" s="539"/>
      <c r="G28" s="539"/>
      <c r="H28" s="543">
        <v>-1</v>
      </c>
      <c r="I28" s="540">
        <v>1085</v>
      </c>
      <c r="J28" s="536">
        <f t="shared" ref="J28" si="10">I28*H28</f>
        <v>-1085</v>
      </c>
      <c r="K28" s="532"/>
      <c r="M28" s="406"/>
      <c r="N28" s="414"/>
      <c r="O28" s="408"/>
      <c r="P28" s="416"/>
      <c r="Q28" s="408">
        <v>1</v>
      </c>
      <c r="R28" s="406"/>
      <c r="S28" s="409">
        <f t="shared" ref="S28" si="11">SUM(M28:R28)</f>
        <v>1</v>
      </c>
      <c r="T28" s="415">
        <f t="shared" ref="T28" si="12">S28*J28</f>
        <v>-1085</v>
      </c>
    </row>
    <row r="29" spans="1:20" ht="16" x14ac:dyDescent="0.15">
      <c r="A29" s="533" t="s">
        <v>750</v>
      </c>
      <c r="B29" s="537" t="s">
        <v>751</v>
      </c>
      <c r="C29" s="516"/>
      <c r="D29" s="523"/>
      <c r="E29" s="523"/>
      <c r="F29" s="523"/>
      <c r="G29" s="523"/>
      <c r="I29" s="535"/>
      <c r="J29" s="536"/>
      <c r="K29" s="532" t="s">
        <v>752</v>
      </c>
      <c r="M29" s="406"/>
      <c r="N29" s="414"/>
      <c r="O29" s="408"/>
      <c r="P29" s="416"/>
      <c r="Q29" s="408"/>
      <c r="R29" s="406"/>
      <c r="S29" s="409"/>
      <c r="T29" s="189"/>
    </row>
    <row r="30" spans="1:20" ht="6.75" customHeight="1" x14ac:dyDescent="0.15">
      <c r="K30" s="532"/>
      <c r="M30" s="406"/>
      <c r="N30" s="414"/>
      <c r="O30" s="408"/>
      <c r="P30" s="416"/>
      <c r="Q30" s="408"/>
      <c r="R30" s="406"/>
      <c r="S30" s="409"/>
      <c r="T30" s="415"/>
    </row>
    <row r="31" spans="1:20" ht="32" x14ac:dyDescent="0.15">
      <c r="A31" s="533" t="s">
        <v>753</v>
      </c>
      <c r="B31" s="534" t="s">
        <v>754</v>
      </c>
      <c r="C31" s="516"/>
      <c r="D31" s="523"/>
      <c r="E31" s="523"/>
      <c r="F31" s="523"/>
      <c r="G31" s="523"/>
      <c r="I31" s="535"/>
      <c r="J31" s="536"/>
      <c r="K31" s="532" t="s">
        <v>755</v>
      </c>
      <c r="M31" s="406"/>
      <c r="N31" s="414"/>
      <c r="O31" s="408"/>
      <c r="P31" s="416"/>
      <c r="Q31" s="408"/>
      <c r="R31" s="406"/>
      <c r="S31" s="409"/>
      <c r="T31" s="189"/>
    </row>
    <row r="32" spans="1:20" ht="6.75" customHeight="1" x14ac:dyDescent="0.15">
      <c r="K32" s="532"/>
      <c r="M32" s="406"/>
      <c r="N32" s="414"/>
      <c r="O32" s="408"/>
      <c r="P32" s="416"/>
      <c r="Q32" s="408"/>
      <c r="R32" s="406"/>
      <c r="S32" s="409"/>
      <c r="T32" s="415"/>
    </row>
    <row r="33" spans="1:22" x14ac:dyDescent="0.15">
      <c r="A33" s="533" t="s">
        <v>756</v>
      </c>
      <c r="B33" s="534" t="s">
        <v>757</v>
      </c>
      <c r="C33" s="516" t="s">
        <v>307</v>
      </c>
      <c r="D33" s="523"/>
      <c r="E33" s="523"/>
      <c r="F33" s="523"/>
      <c r="G33" s="523"/>
      <c r="H33" s="520">
        <v>7</v>
      </c>
      <c r="I33" s="535">
        <v>14.45</v>
      </c>
      <c r="J33" s="536">
        <f>I33*H33</f>
        <v>101.15</v>
      </c>
      <c r="K33" s="532"/>
      <c r="M33" s="406"/>
      <c r="N33" s="414"/>
      <c r="O33" s="408"/>
      <c r="P33" s="416"/>
      <c r="Q33" s="408">
        <v>1</v>
      </c>
      <c r="R33" s="406"/>
      <c r="S33" s="409">
        <f t="shared" ref="S33" si="13">SUM(M33:R33)</f>
        <v>1</v>
      </c>
      <c r="T33" s="415">
        <f t="shared" ref="T33" si="14">S33*J33</f>
        <v>101.15</v>
      </c>
    </row>
    <row r="34" spans="1:22" ht="6.75" customHeight="1" x14ac:dyDescent="0.15">
      <c r="K34" s="532"/>
      <c r="M34" s="406"/>
      <c r="N34" s="414"/>
      <c r="O34" s="408"/>
      <c r="P34" s="416"/>
      <c r="Q34" s="408"/>
      <c r="R34" s="406"/>
      <c r="S34" s="409"/>
      <c r="T34" s="415"/>
    </row>
    <row r="35" spans="1:22" x14ac:dyDescent="0.15">
      <c r="A35" s="533" t="s">
        <v>758</v>
      </c>
      <c r="B35" s="534" t="s">
        <v>759</v>
      </c>
      <c r="C35" s="516"/>
      <c r="D35" s="523"/>
      <c r="E35" s="523"/>
      <c r="F35" s="523"/>
      <c r="G35" s="523"/>
      <c r="I35" s="535"/>
      <c r="J35" s="536"/>
      <c r="K35" s="532"/>
      <c r="M35" s="406"/>
      <c r="N35" s="414"/>
      <c r="O35" s="408"/>
      <c r="P35" s="416"/>
      <c r="Q35" s="408"/>
      <c r="R35" s="406"/>
      <c r="S35" s="409"/>
      <c r="T35" s="189"/>
    </row>
    <row r="36" spans="1:22" x14ac:dyDescent="0.15">
      <c r="A36" s="533"/>
      <c r="B36" s="517" t="s">
        <v>760</v>
      </c>
      <c r="C36" s="516" t="s">
        <v>385</v>
      </c>
      <c r="D36" s="523"/>
      <c r="E36" s="523"/>
      <c r="F36" s="523"/>
      <c r="G36" s="523"/>
      <c r="H36" s="520">
        <v>1</v>
      </c>
      <c r="I36" s="578">
        <v>1080</v>
      </c>
      <c r="J36" s="536">
        <f>I36*H36</f>
        <v>1080</v>
      </c>
      <c r="K36" s="532"/>
      <c r="M36" s="406"/>
      <c r="N36" s="407"/>
      <c r="O36" s="408"/>
      <c r="P36" s="416"/>
      <c r="Q36" s="544">
        <v>1</v>
      </c>
      <c r="R36" s="406"/>
      <c r="S36" s="409">
        <f>SUM(M36:R36)</f>
        <v>1</v>
      </c>
      <c r="T36" s="415">
        <f>S36*J36</f>
        <v>1080</v>
      </c>
    </row>
    <row r="37" spans="1:22" x14ac:dyDescent="0.15">
      <c r="A37" s="533"/>
      <c r="B37" s="517" t="s">
        <v>761</v>
      </c>
      <c r="C37" s="516" t="s">
        <v>304</v>
      </c>
      <c r="D37" s="523">
        <v>1</v>
      </c>
      <c r="E37" s="523">
        <v>2.5</v>
      </c>
      <c r="F37" s="523">
        <v>0.3</v>
      </c>
      <c r="G37" s="523">
        <v>0.6</v>
      </c>
      <c r="H37" s="520">
        <f>SUM(D37*E37*F37*G37)</f>
        <v>0.45</v>
      </c>
      <c r="I37" s="535">
        <v>295</v>
      </c>
      <c r="J37" s="536">
        <f>I37*H37</f>
        <v>132.75</v>
      </c>
      <c r="K37" s="532"/>
      <c r="M37" s="406"/>
      <c r="N37" s="407"/>
      <c r="O37" s="408"/>
      <c r="P37" s="416"/>
      <c r="Q37" s="544">
        <v>1</v>
      </c>
      <c r="R37" s="406"/>
      <c r="S37" s="409">
        <f>SUM(M37:R37)</f>
        <v>1</v>
      </c>
      <c r="T37" s="415">
        <f>S37*J37</f>
        <v>132.75</v>
      </c>
    </row>
    <row r="38" spans="1:22" x14ac:dyDescent="0.15">
      <c r="A38" s="533"/>
      <c r="B38" s="517" t="s">
        <v>791</v>
      </c>
      <c r="C38" s="516" t="s">
        <v>307</v>
      </c>
      <c r="D38" s="523">
        <v>1</v>
      </c>
      <c r="E38" s="523">
        <v>2.5</v>
      </c>
      <c r="F38" s="523">
        <v>1</v>
      </c>
      <c r="G38" s="523">
        <v>1</v>
      </c>
      <c r="H38" s="520">
        <f>SUM(D38*E38*F38*G38)</f>
        <v>2.5</v>
      </c>
      <c r="I38" s="535">
        <v>233.87</v>
      </c>
      <c r="J38" s="536">
        <f>I38*H38</f>
        <v>584.67999999999995</v>
      </c>
      <c r="K38" s="532"/>
      <c r="M38" s="406"/>
      <c r="N38" s="414"/>
      <c r="O38" s="408"/>
      <c r="P38" s="416"/>
      <c r="Q38" s="544">
        <v>1</v>
      </c>
      <c r="R38" s="406"/>
      <c r="S38" s="409">
        <f>SUM(M38:R38)</f>
        <v>1</v>
      </c>
      <c r="T38" s="415">
        <f>S38*J38</f>
        <v>584.67999999999995</v>
      </c>
    </row>
    <row r="39" spans="1:22" x14ac:dyDescent="0.15">
      <c r="A39" s="533"/>
      <c r="B39" s="517" t="s">
        <v>762</v>
      </c>
      <c r="C39" s="516" t="s">
        <v>385</v>
      </c>
      <c r="D39" s="523"/>
      <c r="E39" s="523"/>
      <c r="F39" s="523"/>
      <c r="G39" s="523"/>
      <c r="H39" s="520">
        <v>1</v>
      </c>
      <c r="I39" s="535">
        <v>409.48</v>
      </c>
      <c r="J39" s="536">
        <f>I39*H39</f>
        <v>409.48</v>
      </c>
      <c r="K39" s="532"/>
      <c r="M39" s="406"/>
      <c r="N39" s="414"/>
      <c r="O39" s="408"/>
      <c r="P39" s="416"/>
      <c r="Q39" s="544">
        <v>1</v>
      </c>
      <c r="R39" s="406"/>
      <c r="S39" s="409">
        <f t="shared" ref="S39" si="15">SUM(M39:R39)</f>
        <v>1</v>
      </c>
      <c r="T39" s="415">
        <f t="shared" ref="T39:T40" si="16">S39*J39</f>
        <v>409.48</v>
      </c>
    </row>
    <row r="40" spans="1:22" x14ac:dyDescent="0.15">
      <c r="A40" s="533"/>
      <c r="B40" s="537" t="s">
        <v>693</v>
      </c>
      <c r="C40" s="516" t="s">
        <v>297</v>
      </c>
      <c r="D40" s="523">
        <v>1</v>
      </c>
      <c r="E40" s="523">
        <v>2.5</v>
      </c>
      <c r="F40" s="523">
        <v>1</v>
      </c>
      <c r="G40" s="523">
        <v>1</v>
      </c>
      <c r="H40" s="520">
        <f>SUM(D40*E40*F40*G40)</f>
        <v>2.5</v>
      </c>
      <c r="I40" s="540">
        <v>24.25</v>
      </c>
      <c r="J40" s="536">
        <f>I40*H40</f>
        <v>60.63</v>
      </c>
      <c r="K40" s="532"/>
      <c r="M40" s="406"/>
      <c r="N40" s="414"/>
      <c r="O40" s="408"/>
      <c r="P40" s="416"/>
      <c r="Q40" s="544">
        <v>1</v>
      </c>
      <c r="R40" s="406"/>
      <c r="S40" s="409">
        <f t="shared" ref="S40" si="17">SUM(M40:R40)</f>
        <v>1</v>
      </c>
      <c r="T40" s="415">
        <f t="shared" si="16"/>
        <v>60.63</v>
      </c>
    </row>
    <row r="41" spans="1:22" ht="6.75" customHeight="1" x14ac:dyDescent="0.15">
      <c r="K41" s="532"/>
      <c r="M41" s="406"/>
      <c r="N41" s="407"/>
      <c r="O41" s="408"/>
      <c r="P41" s="416"/>
      <c r="Q41" s="408"/>
      <c r="R41" s="406"/>
      <c r="S41" s="409"/>
      <c r="T41" s="189"/>
    </row>
    <row r="42" spans="1:22" x14ac:dyDescent="0.15">
      <c r="A42" s="526" t="s">
        <v>575</v>
      </c>
      <c r="B42" s="527" t="s">
        <v>763</v>
      </c>
      <c r="C42" s="527"/>
      <c r="D42" s="528"/>
      <c r="E42" s="528"/>
      <c r="F42" s="528"/>
      <c r="G42" s="528"/>
      <c r="H42" s="529"/>
      <c r="I42" s="530"/>
      <c r="J42" s="527"/>
      <c r="K42" s="531">
        <f>SUM(J43:J76)</f>
        <v>5272.53</v>
      </c>
      <c r="M42" s="416"/>
      <c r="N42" s="407"/>
      <c r="O42" s="407"/>
      <c r="P42" s="416"/>
      <c r="Q42" s="407"/>
      <c r="R42" s="416"/>
      <c r="S42" s="409"/>
      <c r="T42" s="249"/>
    </row>
    <row r="43" spans="1:22" ht="6.75" customHeight="1" x14ac:dyDescent="0.15">
      <c r="K43" s="532"/>
      <c r="M43" s="406"/>
      <c r="N43" s="407"/>
      <c r="O43" s="408"/>
      <c r="P43" s="416"/>
      <c r="Q43" s="408"/>
      <c r="R43" s="406"/>
      <c r="S43" s="409"/>
      <c r="T43" s="189"/>
    </row>
    <row r="44" spans="1:22" x14ac:dyDescent="0.15">
      <c r="A44" s="533" t="s">
        <v>764</v>
      </c>
      <c r="B44" s="534" t="s">
        <v>765</v>
      </c>
      <c r="C44" s="516"/>
      <c r="D44" s="523"/>
      <c r="E44" s="523"/>
      <c r="F44" s="523"/>
      <c r="G44" s="523"/>
      <c r="I44" s="535"/>
      <c r="J44" s="536"/>
      <c r="K44" s="532"/>
      <c r="M44" s="406"/>
      <c r="N44" s="407"/>
      <c r="O44" s="408"/>
      <c r="P44" s="416"/>
      <c r="Q44" s="408"/>
      <c r="R44" s="406"/>
      <c r="S44" s="409"/>
      <c r="T44" s="415"/>
    </row>
    <row r="45" spans="1:22" ht="16" x14ac:dyDescent="0.15">
      <c r="A45" s="533"/>
      <c r="B45" s="517" t="s">
        <v>766</v>
      </c>
      <c r="C45" s="581" t="s">
        <v>304</v>
      </c>
      <c r="D45" s="579">
        <v>1</v>
      </c>
      <c r="E45" s="579">
        <v>3.5</v>
      </c>
      <c r="F45" s="579">
        <v>1</v>
      </c>
      <c r="G45" s="579">
        <v>0.4</v>
      </c>
      <c r="H45" s="582">
        <f>+D45*E45*F45*G45</f>
        <v>1.4</v>
      </c>
      <c r="I45" s="578">
        <v>540</v>
      </c>
      <c r="J45" s="583">
        <f t="shared" ref="J45" si="18">I45*H45</f>
        <v>756</v>
      </c>
      <c r="K45" s="584" t="s">
        <v>850</v>
      </c>
      <c r="M45" s="406"/>
      <c r="N45" s="407"/>
      <c r="O45" s="408"/>
      <c r="P45" s="416"/>
      <c r="Q45" s="513">
        <v>0</v>
      </c>
      <c r="R45" s="406">
        <v>0</v>
      </c>
      <c r="S45" s="409">
        <f t="shared" ref="S45" si="19">SUM(M45:R45)</f>
        <v>0</v>
      </c>
      <c r="T45" s="415">
        <f t="shared" ref="T45" si="20">S45*J45</f>
        <v>0</v>
      </c>
      <c r="V45" s="521">
        <f>+J45</f>
        <v>756</v>
      </c>
    </row>
    <row r="46" spans="1:22" ht="6.75" customHeight="1" x14ac:dyDescent="0.15">
      <c r="K46" s="532"/>
      <c r="M46" s="406"/>
      <c r="N46" s="414"/>
      <c r="O46" s="408"/>
      <c r="P46" s="416"/>
      <c r="Q46" s="408"/>
      <c r="R46" s="406"/>
      <c r="S46" s="409"/>
      <c r="T46" s="415"/>
    </row>
    <row r="47" spans="1:22" x14ac:dyDescent="0.15">
      <c r="A47" s="533" t="s">
        <v>767</v>
      </c>
      <c r="B47" s="534" t="s">
        <v>706</v>
      </c>
      <c r="C47" s="516"/>
      <c r="D47" s="523"/>
      <c r="E47" s="523"/>
      <c r="F47" s="523"/>
      <c r="G47" s="523"/>
      <c r="I47" s="535"/>
      <c r="J47" s="536"/>
      <c r="K47" s="532"/>
      <c r="M47" s="406"/>
      <c r="N47" s="407"/>
      <c r="O47" s="408"/>
      <c r="P47" s="416"/>
      <c r="Q47" s="408"/>
      <c r="R47" s="406"/>
      <c r="S47" s="409"/>
      <c r="T47" s="415"/>
    </row>
    <row r="48" spans="1:22" ht="16" x14ac:dyDescent="0.15">
      <c r="A48" s="547" t="s">
        <v>263</v>
      </c>
      <c r="B48" s="517" t="s">
        <v>699</v>
      </c>
      <c r="C48" s="516" t="s">
        <v>304</v>
      </c>
      <c r="D48" s="523"/>
      <c r="E48" s="523"/>
      <c r="F48" s="523"/>
      <c r="G48" s="523"/>
      <c r="H48" s="580">
        <f>+H49+H50-' - état 30 - Février  06  '!I133</f>
        <v>1.24</v>
      </c>
      <c r="I48" s="578">
        <v>120.75</v>
      </c>
      <c r="J48" s="583">
        <f t="shared" ref="J48" si="21">I48*H48</f>
        <v>149.72999999999999</v>
      </c>
      <c r="K48" s="532" t="s">
        <v>851</v>
      </c>
      <c r="M48" s="406"/>
      <c r="N48" s="407"/>
      <c r="O48" s="408"/>
      <c r="P48" s="416"/>
      <c r="Q48" s="408">
        <v>1</v>
      </c>
      <c r="R48" s="406"/>
      <c r="S48" s="409">
        <f t="shared" ref="S48" si="22">SUM(M48:R48)</f>
        <v>1</v>
      </c>
      <c r="T48" s="415">
        <f t="shared" ref="T48" si="23">S48*J48</f>
        <v>149.72999999999999</v>
      </c>
    </row>
    <row r="49" spans="1:22" x14ac:dyDescent="0.15">
      <c r="A49" s="533"/>
      <c r="B49" s="545" t="s">
        <v>700</v>
      </c>
      <c r="C49" s="516"/>
      <c r="D49" s="523">
        <v>1</v>
      </c>
      <c r="E49" s="523">
        <v>10.25</v>
      </c>
      <c r="F49" s="523">
        <v>0.4</v>
      </c>
      <c r="G49" s="523">
        <f>1.65-1.3</f>
        <v>0.35</v>
      </c>
      <c r="H49" s="523">
        <f>+D49*E49*F49*G49</f>
        <v>1.44</v>
      </c>
      <c r="I49" s="535"/>
      <c r="J49" s="536"/>
      <c r="K49" s="532"/>
      <c r="M49" s="406"/>
      <c r="N49" s="407"/>
      <c r="O49" s="408"/>
      <c r="P49" s="416"/>
      <c r="Q49" s="408"/>
      <c r="R49" s="406"/>
      <c r="S49" s="409"/>
      <c r="T49" s="415"/>
    </row>
    <row r="50" spans="1:22" x14ac:dyDescent="0.15">
      <c r="A50" s="533"/>
      <c r="B50" s="545" t="s">
        <v>701</v>
      </c>
      <c r="C50" s="516"/>
      <c r="D50" s="523">
        <v>1</v>
      </c>
      <c r="E50" s="523">
        <v>0.3</v>
      </c>
      <c r="F50" s="523">
        <v>0.6</v>
      </c>
      <c r="G50" s="523">
        <v>10.25</v>
      </c>
      <c r="H50" s="523">
        <f>+D50*E50*F50*G50</f>
        <v>1.85</v>
      </c>
      <c r="I50" s="535"/>
      <c r="J50" s="536"/>
      <c r="K50" s="532"/>
      <c r="M50" s="406"/>
      <c r="N50" s="407"/>
      <c r="O50" s="408"/>
      <c r="P50" s="416"/>
      <c r="Q50" s="408"/>
      <c r="R50" s="406"/>
      <c r="S50" s="409"/>
      <c r="T50" s="415"/>
    </row>
    <row r="51" spans="1:22" x14ac:dyDescent="0.15">
      <c r="A51" s="533"/>
      <c r="B51" s="517" t="s">
        <v>707</v>
      </c>
      <c r="C51" s="516"/>
      <c r="D51" s="523"/>
      <c r="E51" s="523"/>
      <c r="F51" s="523"/>
      <c r="G51" s="523"/>
      <c r="I51" s="535"/>
      <c r="J51" s="536" t="s">
        <v>708</v>
      </c>
      <c r="K51" s="532"/>
      <c r="M51" s="406"/>
      <c r="N51" s="407"/>
      <c r="O51" s="408"/>
      <c r="P51" s="416"/>
      <c r="Q51" s="408"/>
      <c r="R51" s="406"/>
      <c r="S51" s="409"/>
      <c r="T51" s="415"/>
    </row>
    <row r="52" spans="1:22" ht="16" x14ac:dyDescent="0.15">
      <c r="A52" s="533"/>
      <c r="B52" s="517" t="s">
        <v>709</v>
      </c>
      <c r="C52" s="516" t="s">
        <v>304</v>
      </c>
      <c r="D52" s="523">
        <v>1</v>
      </c>
      <c r="E52" s="523">
        <v>0.3</v>
      </c>
      <c r="F52" s="523">
        <v>0.6</v>
      </c>
      <c r="G52" s="523">
        <v>10.25</v>
      </c>
      <c r="H52" s="520">
        <f>+D52*E52*F52*G52</f>
        <v>1.85</v>
      </c>
      <c r="I52" s="535">
        <v>695</v>
      </c>
      <c r="J52" s="536">
        <f t="shared" ref="J52:J53" si="24">I52*H52</f>
        <v>1285.75</v>
      </c>
      <c r="K52" s="584" t="s">
        <v>850</v>
      </c>
      <c r="M52" s="406"/>
      <c r="N52" s="407"/>
      <c r="O52" s="408"/>
      <c r="P52" s="416"/>
      <c r="Q52" s="513">
        <v>0</v>
      </c>
      <c r="R52" s="406">
        <v>0</v>
      </c>
      <c r="S52" s="409">
        <f t="shared" ref="S52:S55" si="25">SUM(M52:R52)</f>
        <v>0</v>
      </c>
      <c r="T52" s="415">
        <f t="shared" ref="T52:T55" si="26">S52*J52</f>
        <v>0</v>
      </c>
      <c r="V52" s="521">
        <f>+J52</f>
        <v>1285.75</v>
      </c>
    </row>
    <row r="53" spans="1:22" x14ac:dyDescent="0.15">
      <c r="A53" s="533"/>
      <c r="B53" s="517" t="s">
        <v>410</v>
      </c>
      <c r="C53" s="516" t="s">
        <v>297</v>
      </c>
      <c r="D53" s="523">
        <v>1</v>
      </c>
      <c r="E53" s="523">
        <v>0.3</v>
      </c>
      <c r="F53" s="523">
        <v>0.6</v>
      </c>
      <c r="G53" s="523">
        <v>10.25</v>
      </c>
      <c r="H53" s="520">
        <f>+D53*E53*2*G53</f>
        <v>6.15</v>
      </c>
      <c r="I53" s="578">
        <v>59.56</v>
      </c>
      <c r="J53" s="583">
        <f t="shared" si="24"/>
        <v>366.29</v>
      </c>
      <c r="K53" s="532"/>
      <c r="M53" s="406"/>
      <c r="N53" s="407"/>
      <c r="O53" s="408"/>
      <c r="P53" s="416"/>
      <c r="Q53" s="408">
        <v>1</v>
      </c>
      <c r="R53" s="406"/>
      <c r="S53" s="409">
        <f t="shared" si="25"/>
        <v>1</v>
      </c>
      <c r="T53" s="415">
        <f t="shared" si="26"/>
        <v>366.29</v>
      </c>
    </row>
    <row r="54" spans="1:22" x14ac:dyDescent="0.15">
      <c r="A54" s="533"/>
      <c r="B54" s="517" t="s">
        <v>710</v>
      </c>
      <c r="C54" s="516" t="s">
        <v>305</v>
      </c>
      <c r="D54" s="523">
        <f>+H52</f>
        <v>1.85</v>
      </c>
      <c r="E54" s="523">
        <v>45</v>
      </c>
      <c r="F54" s="523"/>
      <c r="G54" s="523"/>
      <c r="H54" s="520">
        <f>+D54*E54</f>
        <v>83.25</v>
      </c>
      <c r="I54" s="535">
        <v>4.8499999999999996</v>
      </c>
      <c r="J54" s="536">
        <f>I54*H54</f>
        <v>403.76</v>
      </c>
      <c r="K54" s="532"/>
      <c r="M54" s="406"/>
      <c r="N54" s="407"/>
      <c r="O54" s="408"/>
      <c r="P54" s="416"/>
      <c r="Q54" s="408">
        <v>1</v>
      </c>
      <c r="R54" s="406"/>
      <c r="S54" s="409">
        <f t="shared" si="25"/>
        <v>1</v>
      </c>
      <c r="T54" s="415">
        <f t="shared" si="26"/>
        <v>403.76</v>
      </c>
    </row>
    <row r="55" spans="1:22" x14ac:dyDescent="0.15">
      <c r="A55" s="533"/>
      <c r="B55" s="517" t="s">
        <v>711</v>
      </c>
      <c r="C55" s="516" t="s">
        <v>304</v>
      </c>
      <c r="D55" s="523">
        <v>1</v>
      </c>
      <c r="E55" s="523">
        <v>10.25</v>
      </c>
      <c r="F55" s="523">
        <f>0.3+0.5-0.3</f>
        <v>0.5</v>
      </c>
      <c r="G55" s="523">
        <v>0.14000000000000001</v>
      </c>
      <c r="H55" s="520">
        <f>+D55*E55*F55*G55</f>
        <v>0.72</v>
      </c>
      <c r="I55" s="535">
        <v>785</v>
      </c>
      <c r="J55" s="536">
        <f>I55*H55</f>
        <v>565.20000000000005</v>
      </c>
      <c r="K55" s="532"/>
      <c r="M55" s="406"/>
      <c r="N55" s="407"/>
      <c r="O55" s="408"/>
      <c r="P55" s="416"/>
      <c r="Q55" s="408">
        <v>1</v>
      </c>
      <c r="R55" s="406"/>
      <c r="S55" s="409">
        <f t="shared" si="25"/>
        <v>1</v>
      </c>
      <c r="T55" s="415">
        <f t="shared" si="26"/>
        <v>565.20000000000005</v>
      </c>
    </row>
    <row r="56" spans="1:22" ht="6.75" customHeight="1" x14ac:dyDescent="0.15">
      <c r="K56" s="532"/>
      <c r="M56" s="406"/>
      <c r="N56" s="414"/>
      <c r="O56" s="408"/>
      <c r="P56" s="416"/>
      <c r="Q56" s="408"/>
      <c r="R56" s="406"/>
      <c r="S56" s="409"/>
      <c r="T56" s="415"/>
    </row>
    <row r="57" spans="1:22" x14ac:dyDescent="0.15">
      <c r="A57" s="533" t="s">
        <v>768</v>
      </c>
      <c r="B57" s="534" t="s">
        <v>712</v>
      </c>
      <c r="C57" s="516"/>
      <c r="D57" s="523"/>
      <c r="E57" s="523"/>
      <c r="F57" s="523"/>
      <c r="G57" s="523"/>
      <c r="I57" s="535"/>
      <c r="J57" s="536"/>
      <c r="K57" s="532"/>
      <c r="M57" s="406"/>
      <c r="N57" s="407"/>
      <c r="O57" s="408"/>
      <c r="P57" s="416"/>
      <c r="Q57" s="408"/>
      <c r="R57" s="406"/>
      <c r="S57" s="409"/>
      <c r="T57" s="415"/>
    </row>
    <row r="58" spans="1:22" x14ac:dyDescent="0.15">
      <c r="A58" s="533"/>
      <c r="B58" s="517" t="s">
        <v>699</v>
      </c>
      <c r="C58" s="516" t="s">
        <v>304</v>
      </c>
      <c r="D58" s="523">
        <v>0</v>
      </c>
      <c r="E58" s="523">
        <v>12.31</v>
      </c>
      <c r="F58" s="523"/>
      <c r="G58" s="523"/>
      <c r="H58" s="520">
        <f>+D58*E58</f>
        <v>0</v>
      </c>
      <c r="I58" s="535">
        <v>265</v>
      </c>
      <c r="J58" s="536"/>
      <c r="K58" s="532"/>
      <c r="M58" s="406"/>
      <c r="N58" s="407"/>
      <c r="O58" s="408"/>
      <c r="P58" s="416"/>
      <c r="Q58" s="408"/>
      <c r="R58" s="406"/>
      <c r="S58" s="409"/>
      <c r="T58" s="415"/>
    </row>
    <row r="59" spans="1:22" x14ac:dyDescent="0.15">
      <c r="A59" s="533"/>
      <c r="B59" s="517" t="s">
        <v>713</v>
      </c>
      <c r="C59" s="516" t="s">
        <v>304</v>
      </c>
      <c r="D59" s="523">
        <v>0.15</v>
      </c>
      <c r="E59" s="523">
        <v>12.31</v>
      </c>
      <c r="F59" s="523"/>
      <c r="G59" s="523"/>
      <c r="H59" s="520">
        <f>+D59*E59</f>
        <v>1.85</v>
      </c>
      <c r="I59" s="535">
        <v>165</v>
      </c>
      <c r="J59" s="536">
        <v>0</v>
      </c>
      <c r="K59" s="532"/>
      <c r="M59" s="406"/>
      <c r="N59" s="407"/>
      <c r="O59" s="408"/>
      <c r="P59" s="416"/>
      <c r="Q59" s="544"/>
      <c r="R59" s="568"/>
      <c r="S59" s="569"/>
      <c r="T59" s="570"/>
    </row>
    <row r="60" spans="1:22" x14ac:dyDescent="0.15">
      <c r="A60" s="533"/>
      <c r="B60" s="517" t="s">
        <v>714</v>
      </c>
      <c r="C60" s="516" t="s">
        <v>297</v>
      </c>
      <c r="D60" s="523"/>
      <c r="E60" s="523"/>
      <c r="F60" s="523"/>
      <c r="G60" s="523"/>
      <c r="H60" s="520">
        <v>12.31</v>
      </c>
      <c r="I60" s="535">
        <v>4.03</v>
      </c>
      <c r="J60" s="536">
        <v>0</v>
      </c>
      <c r="K60" s="532"/>
      <c r="M60" s="406"/>
      <c r="N60" s="407"/>
      <c r="O60" s="408"/>
      <c r="P60" s="416"/>
      <c r="Q60" s="544"/>
      <c r="R60" s="568"/>
      <c r="S60" s="569"/>
      <c r="T60" s="570"/>
    </row>
    <row r="61" spans="1:22" x14ac:dyDescent="0.15">
      <c r="A61" s="533"/>
      <c r="B61" s="517" t="s">
        <v>715</v>
      </c>
      <c r="C61" s="516" t="s">
        <v>304</v>
      </c>
      <c r="D61" s="523">
        <v>0.45</v>
      </c>
      <c r="E61" s="523">
        <v>12.31</v>
      </c>
      <c r="F61" s="523"/>
      <c r="G61" s="523"/>
      <c r="H61" s="520">
        <f>+D61*E61</f>
        <v>5.54</v>
      </c>
      <c r="I61" s="535">
        <v>199.65</v>
      </c>
      <c r="J61" s="536">
        <v>0</v>
      </c>
      <c r="K61" s="536"/>
      <c r="M61" s="406"/>
      <c r="N61" s="407"/>
      <c r="O61" s="408"/>
      <c r="P61" s="416"/>
      <c r="Q61" s="544"/>
      <c r="R61" s="568"/>
      <c r="S61" s="569"/>
      <c r="T61" s="570"/>
    </row>
    <row r="62" spans="1:22" x14ac:dyDescent="0.15">
      <c r="A62" s="533"/>
      <c r="B62" s="517" t="s">
        <v>716</v>
      </c>
      <c r="C62" s="516" t="s">
        <v>308</v>
      </c>
      <c r="D62" s="523"/>
      <c r="E62" s="523"/>
      <c r="F62" s="523"/>
      <c r="G62" s="523"/>
      <c r="H62" s="520">
        <v>2</v>
      </c>
      <c r="I62" s="535">
        <v>175</v>
      </c>
      <c r="J62" s="536">
        <f>I62*H62</f>
        <v>350</v>
      </c>
      <c r="K62" s="532"/>
      <c r="M62" s="406"/>
      <c r="N62" s="407"/>
      <c r="O62" s="408"/>
      <c r="P62" s="416"/>
      <c r="Q62" s="408">
        <v>1</v>
      </c>
      <c r="R62" s="406"/>
      <c r="S62" s="409">
        <f t="shared" ref="S62" si="27">SUM(M62:R62)</f>
        <v>1</v>
      </c>
      <c r="T62" s="415">
        <f t="shared" ref="T62" si="28">S62*J62</f>
        <v>350</v>
      </c>
    </row>
    <row r="63" spans="1:22" ht="6.75" customHeight="1" x14ac:dyDescent="0.15">
      <c r="K63" s="532"/>
      <c r="M63" s="406"/>
      <c r="N63" s="414"/>
      <c r="O63" s="408"/>
      <c r="P63" s="416"/>
      <c r="Q63" s="408"/>
      <c r="R63" s="406"/>
      <c r="S63" s="409"/>
      <c r="T63" s="415"/>
    </row>
    <row r="64" spans="1:22" x14ac:dyDescent="0.15">
      <c r="A64" s="533" t="s">
        <v>769</v>
      </c>
      <c r="B64" s="534" t="s">
        <v>772</v>
      </c>
      <c r="C64" s="516"/>
      <c r="D64" s="523"/>
      <c r="E64" s="523"/>
      <c r="F64" s="523"/>
      <c r="G64" s="523"/>
      <c r="I64" s="535"/>
      <c r="J64" s="536"/>
      <c r="K64" s="532"/>
      <c r="M64" s="406"/>
      <c r="N64" s="407"/>
      <c r="O64" s="408"/>
      <c r="P64" s="416"/>
      <c r="Q64" s="408"/>
      <c r="R64" s="406"/>
      <c r="S64" s="409"/>
      <c r="T64" s="415"/>
    </row>
    <row r="65" spans="1:22" x14ac:dyDescent="0.15">
      <c r="A65" s="533"/>
      <c r="B65" s="517" t="s">
        <v>773</v>
      </c>
      <c r="C65" s="516" t="s">
        <v>304</v>
      </c>
      <c r="D65" s="523">
        <v>3</v>
      </c>
      <c r="E65" s="523">
        <v>0.6</v>
      </c>
      <c r="F65" s="523">
        <v>0.3</v>
      </c>
      <c r="G65" s="523">
        <v>1</v>
      </c>
      <c r="H65" s="520">
        <f>+D65*E65*F65*G65</f>
        <v>0.54</v>
      </c>
      <c r="I65" s="535">
        <v>265</v>
      </c>
      <c r="J65" s="536">
        <f t="shared" ref="J65:J67" si="29">I65*H65</f>
        <v>143.1</v>
      </c>
      <c r="K65" s="532"/>
      <c r="M65" s="406"/>
      <c r="N65" s="407"/>
      <c r="O65" s="408"/>
      <c r="P65" s="416"/>
      <c r="Q65" s="408">
        <v>1</v>
      </c>
      <c r="R65" s="406"/>
      <c r="S65" s="409">
        <f t="shared" ref="S65:S67" si="30">SUM(M65:R65)</f>
        <v>1</v>
      </c>
      <c r="T65" s="415">
        <f t="shared" ref="T65:T67" si="31">S65*J65</f>
        <v>143.1</v>
      </c>
    </row>
    <row r="66" spans="1:22" ht="16" x14ac:dyDescent="0.15">
      <c r="A66" s="533"/>
      <c r="B66" s="517" t="s">
        <v>774</v>
      </c>
      <c r="C66" s="516" t="s">
        <v>304</v>
      </c>
      <c r="D66" s="523">
        <v>3</v>
      </c>
      <c r="E66" s="523">
        <v>0.6</v>
      </c>
      <c r="F66" s="523">
        <v>0.3</v>
      </c>
      <c r="G66" s="523">
        <v>1</v>
      </c>
      <c r="H66" s="520">
        <f>+D66*E66*F66*G66</f>
        <v>0.54</v>
      </c>
      <c r="I66" s="535">
        <v>695</v>
      </c>
      <c r="J66" s="536">
        <f t="shared" si="29"/>
        <v>375.3</v>
      </c>
      <c r="K66" s="584" t="s">
        <v>850</v>
      </c>
      <c r="M66" s="406"/>
      <c r="N66" s="407"/>
      <c r="O66" s="408"/>
      <c r="P66" s="416"/>
      <c r="Q66" s="513">
        <v>0</v>
      </c>
      <c r="R66" s="406">
        <v>0</v>
      </c>
      <c r="S66" s="409">
        <f t="shared" ref="S66" si="32">SUM(M66:R66)</f>
        <v>0</v>
      </c>
      <c r="T66" s="415">
        <f t="shared" si="31"/>
        <v>0</v>
      </c>
      <c r="V66" s="521">
        <f>+J66</f>
        <v>375.3</v>
      </c>
    </row>
    <row r="67" spans="1:22" x14ac:dyDescent="0.15">
      <c r="A67" s="533"/>
      <c r="B67" s="517" t="s">
        <v>705</v>
      </c>
      <c r="C67" s="516" t="s">
        <v>305</v>
      </c>
      <c r="D67" s="523"/>
      <c r="E67" s="523"/>
      <c r="F67" s="523"/>
      <c r="G67" s="523"/>
      <c r="H67" s="520">
        <f>80*H65</f>
        <v>43.2</v>
      </c>
      <c r="I67" s="535">
        <f>+I54</f>
        <v>4.8499999999999996</v>
      </c>
      <c r="J67" s="536">
        <f t="shared" si="29"/>
        <v>209.52</v>
      </c>
      <c r="K67" s="532"/>
      <c r="M67" s="406"/>
      <c r="N67" s="407"/>
      <c r="O67" s="408"/>
      <c r="P67" s="416"/>
      <c r="Q67" s="408">
        <v>1</v>
      </c>
      <c r="R67" s="406"/>
      <c r="S67" s="409">
        <f t="shared" si="30"/>
        <v>1</v>
      </c>
      <c r="T67" s="415">
        <f t="shared" si="31"/>
        <v>209.52</v>
      </c>
    </row>
    <row r="68" spans="1:22" ht="6.75" customHeight="1" x14ac:dyDescent="0.15">
      <c r="K68" s="532"/>
      <c r="M68" s="406"/>
      <c r="N68" s="414"/>
      <c r="O68" s="408"/>
      <c r="P68" s="416"/>
      <c r="Q68" s="408"/>
      <c r="R68" s="406"/>
      <c r="S68" s="409"/>
      <c r="T68" s="415"/>
    </row>
    <row r="69" spans="1:22" x14ac:dyDescent="0.15">
      <c r="A69" s="533" t="s">
        <v>771</v>
      </c>
      <c r="B69" s="534" t="s">
        <v>811</v>
      </c>
      <c r="C69" s="516" t="s">
        <v>385</v>
      </c>
      <c r="D69" s="523"/>
      <c r="E69" s="523"/>
      <c r="F69" s="523"/>
      <c r="G69" s="523"/>
      <c r="H69" s="520">
        <v>1</v>
      </c>
      <c r="I69" s="535">
        <v>667.88</v>
      </c>
      <c r="J69" s="536">
        <f t="shared" ref="J69" si="33">I69*H69</f>
        <v>667.88</v>
      </c>
      <c r="K69" s="532"/>
      <c r="M69" s="406"/>
      <c r="N69" s="407"/>
      <c r="O69" s="408"/>
      <c r="P69" s="416"/>
      <c r="Q69" s="544">
        <v>1</v>
      </c>
      <c r="R69" s="406"/>
      <c r="S69" s="409">
        <f t="shared" ref="S69" si="34">SUM(M69:R69)</f>
        <v>1</v>
      </c>
      <c r="T69" s="415">
        <f t="shared" ref="T69" si="35">S69*J69</f>
        <v>667.88</v>
      </c>
    </row>
    <row r="70" spans="1:22" x14ac:dyDescent="0.15">
      <c r="A70" s="533"/>
      <c r="B70" s="546" t="s">
        <v>812</v>
      </c>
      <c r="C70" s="516"/>
      <c r="D70" s="523"/>
      <c r="E70" s="523"/>
      <c r="F70" s="523"/>
      <c r="G70" s="523"/>
      <c r="I70" s="535"/>
      <c r="J70" s="536"/>
      <c r="K70" s="532"/>
      <c r="M70" s="406"/>
      <c r="N70" s="407"/>
      <c r="O70" s="408"/>
      <c r="P70" s="416"/>
      <c r="Q70" s="408"/>
      <c r="R70" s="406"/>
      <c r="S70" s="409"/>
      <c r="T70" s="415"/>
    </row>
    <row r="71" spans="1:22" x14ac:dyDescent="0.15">
      <c r="A71" s="533"/>
      <c r="B71" s="546" t="s">
        <v>813</v>
      </c>
      <c r="C71" s="516"/>
      <c r="D71" s="523"/>
      <c r="E71" s="523"/>
      <c r="F71" s="523"/>
      <c r="G71" s="523"/>
      <c r="I71" s="535"/>
      <c r="J71" s="536"/>
      <c r="K71" s="532"/>
      <c r="M71" s="406"/>
      <c r="N71" s="407"/>
      <c r="O71" s="408"/>
      <c r="P71" s="416"/>
      <c r="Q71" s="408"/>
      <c r="R71" s="406"/>
      <c r="S71" s="409"/>
      <c r="T71" s="415"/>
    </row>
    <row r="72" spans="1:22" x14ac:dyDescent="0.15">
      <c r="A72" s="533"/>
      <c r="B72" s="546" t="s">
        <v>814</v>
      </c>
      <c r="C72" s="516"/>
      <c r="D72" s="523"/>
      <c r="E72" s="523"/>
      <c r="F72" s="523"/>
      <c r="G72" s="523"/>
      <c r="I72" s="535"/>
      <c r="J72" s="536"/>
      <c r="K72" s="532"/>
      <c r="M72" s="406"/>
      <c r="N72" s="407"/>
      <c r="O72" s="408"/>
      <c r="P72" s="416"/>
      <c r="Q72" s="408"/>
      <c r="R72" s="406"/>
      <c r="S72" s="409"/>
      <c r="T72" s="415"/>
    </row>
    <row r="73" spans="1:22" x14ac:dyDescent="0.15">
      <c r="A73" s="533"/>
      <c r="B73" s="546" t="s">
        <v>580</v>
      </c>
      <c r="C73" s="516"/>
      <c r="D73" s="523"/>
      <c r="E73" s="523"/>
      <c r="F73" s="523"/>
      <c r="G73" s="523"/>
      <c r="I73" s="535"/>
      <c r="J73" s="536"/>
      <c r="K73" s="532"/>
      <c r="M73" s="406"/>
      <c r="N73" s="407"/>
      <c r="O73" s="408"/>
      <c r="P73" s="416"/>
      <c r="Q73" s="408"/>
      <c r="R73" s="406"/>
      <c r="S73" s="409"/>
      <c r="T73" s="415"/>
    </row>
    <row r="74" spans="1:22" x14ac:dyDescent="0.15">
      <c r="A74" s="533"/>
      <c r="B74" s="546" t="s">
        <v>703</v>
      </c>
      <c r="C74" s="516"/>
      <c r="D74" s="523"/>
      <c r="E74" s="523"/>
      <c r="F74" s="523"/>
      <c r="G74" s="523"/>
      <c r="I74" s="535"/>
      <c r="J74" s="536"/>
      <c r="K74" s="532"/>
      <c r="M74" s="406"/>
      <c r="N74" s="407"/>
      <c r="O74" s="408"/>
      <c r="P74" s="416"/>
      <c r="Q74" s="408"/>
      <c r="R74" s="406"/>
      <c r="S74" s="409"/>
      <c r="T74" s="415"/>
    </row>
    <row r="75" spans="1:22" x14ac:dyDescent="0.15">
      <c r="A75" s="533"/>
      <c r="B75" s="546" t="s">
        <v>815</v>
      </c>
      <c r="C75" s="516"/>
      <c r="D75" s="523"/>
      <c r="E75" s="523"/>
      <c r="F75" s="523"/>
      <c r="G75" s="523"/>
      <c r="I75" s="535"/>
      <c r="J75" s="536"/>
      <c r="K75" s="532"/>
      <c r="M75" s="406"/>
      <c r="N75" s="407"/>
      <c r="O75" s="408"/>
      <c r="P75" s="416"/>
      <c r="Q75" s="408"/>
      <c r="R75" s="406"/>
      <c r="S75" s="409"/>
      <c r="T75" s="415"/>
    </row>
    <row r="76" spans="1:22" ht="6.75" customHeight="1" x14ac:dyDescent="0.15">
      <c r="K76" s="532"/>
      <c r="M76" s="406"/>
      <c r="N76" s="414"/>
      <c r="O76" s="408"/>
      <c r="P76" s="416"/>
      <c r="Q76" s="408"/>
      <c r="R76" s="406"/>
      <c r="S76" s="409"/>
      <c r="T76" s="415"/>
    </row>
    <row r="77" spans="1:22" x14ac:dyDescent="0.15">
      <c r="A77" s="526" t="s">
        <v>576</v>
      </c>
      <c r="B77" s="527" t="s">
        <v>816</v>
      </c>
      <c r="C77" s="527"/>
      <c r="D77" s="528"/>
      <c r="E77" s="528"/>
      <c r="F77" s="528"/>
      <c r="G77" s="528"/>
      <c r="H77" s="529"/>
      <c r="I77" s="530"/>
      <c r="J77" s="527"/>
      <c r="K77" s="531">
        <f>SUM(J78:J82)</f>
        <v>483.22</v>
      </c>
      <c r="M77" s="416"/>
      <c r="N77" s="407"/>
      <c r="O77" s="407"/>
      <c r="P77" s="416"/>
      <c r="Q77" s="407"/>
      <c r="R77" s="416"/>
      <c r="S77" s="409"/>
      <c r="T77" s="249"/>
    </row>
    <row r="78" spans="1:22" ht="6.75" customHeight="1" x14ac:dyDescent="0.15">
      <c r="K78" s="532"/>
      <c r="M78" s="406"/>
      <c r="N78" s="407"/>
      <c r="O78" s="408"/>
      <c r="P78" s="416"/>
      <c r="Q78" s="408"/>
      <c r="R78" s="406"/>
      <c r="S78" s="409"/>
      <c r="T78" s="189"/>
    </row>
    <row r="79" spans="1:22" x14ac:dyDescent="0.15">
      <c r="A79" s="533" t="s">
        <v>776</v>
      </c>
      <c r="B79" s="534" t="s">
        <v>817</v>
      </c>
      <c r="C79" s="516" t="s">
        <v>308</v>
      </c>
      <c r="D79" s="523">
        <v>2</v>
      </c>
      <c r="E79" s="523">
        <v>1</v>
      </c>
      <c r="F79" s="523">
        <v>1</v>
      </c>
      <c r="G79" s="523">
        <v>1</v>
      </c>
      <c r="H79" s="520">
        <f>+D79*E79*F79*G79</f>
        <v>2</v>
      </c>
      <c r="I79" s="535">
        <v>137.77000000000001</v>
      </c>
      <c r="J79" s="536">
        <f>I79*H79</f>
        <v>275.54000000000002</v>
      </c>
      <c r="K79" s="532"/>
      <c r="M79" s="406"/>
      <c r="N79" s="407"/>
      <c r="O79" s="408"/>
      <c r="P79" s="416"/>
      <c r="Q79" s="408">
        <v>1</v>
      </c>
      <c r="R79" s="406"/>
      <c r="S79" s="409">
        <f t="shared" ref="S79" si="36">SUM(M79:R79)</f>
        <v>1</v>
      </c>
      <c r="T79" s="415">
        <f t="shared" ref="T79" si="37">S79*J79</f>
        <v>275.54000000000002</v>
      </c>
    </row>
    <row r="80" spans="1:22" ht="6.75" customHeight="1" x14ac:dyDescent="0.15">
      <c r="K80" s="532"/>
      <c r="M80" s="406"/>
      <c r="N80" s="414"/>
      <c r="O80" s="408"/>
      <c r="P80" s="416"/>
      <c r="Q80" s="408"/>
      <c r="R80" s="406"/>
      <c r="S80" s="409"/>
      <c r="T80" s="415"/>
    </row>
    <row r="81" spans="1:20" x14ac:dyDescent="0.15">
      <c r="A81" s="533" t="s">
        <v>86</v>
      </c>
      <c r="B81" s="534" t="s">
        <v>818</v>
      </c>
      <c r="C81" s="516" t="s">
        <v>308</v>
      </c>
      <c r="D81" s="523">
        <v>4</v>
      </c>
      <c r="E81" s="523">
        <v>1</v>
      </c>
      <c r="F81" s="523">
        <v>1</v>
      </c>
      <c r="G81" s="523">
        <v>1</v>
      </c>
      <c r="H81" s="520">
        <f>+D81*E81*F81*G81</f>
        <v>4</v>
      </c>
      <c r="I81" s="535">
        <v>51.92</v>
      </c>
      <c r="J81" s="536">
        <f>I81*H81</f>
        <v>207.68</v>
      </c>
      <c r="K81" s="532"/>
      <c r="M81" s="406"/>
      <c r="N81" s="407"/>
      <c r="O81" s="408"/>
      <c r="P81" s="416"/>
      <c r="Q81" s="408">
        <v>1</v>
      </c>
      <c r="R81" s="406"/>
      <c r="S81" s="409">
        <f t="shared" ref="S81" si="38">SUM(M81:R81)</f>
        <v>1</v>
      </c>
      <c r="T81" s="415">
        <f t="shared" ref="T81" si="39">S81*J81</f>
        <v>207.68</v>
      </c>
    </row>
    <row r="82" spans="1:20" ht="6.75" customHeight="1" x14ac:dyDescent="0.15">
      <c r="K82" s="532"/>
      <c r="M82" s="406"/>
      <c r="N82" s="414"/>
      <c r="O82" s="408"/>
      <c r="P82" s="416"/>
      <c r="Q82" s="408"/>
      <c r="R82" s="406"/>
      <c r="S82" s="409"/>
      <c r="T82" s="415"/>
    </row>
    <row r="83" spans="1:20" x14ac:dyDescent="0.15">
      <c r="A83" s="526" t="s">
        <v>595</v>
      </c>
      <c r="B83" s="527" t="s">
        <v>775</v>
      </c>
      <c r="C83" s="527"/>
      <c r="D83" s="528"/>
      <c r="E83" s="528"/>
      <c r="F83" s="528"/>
      <c r="G83" s="528"/>
      <c r="H83" s="529"/>
      <c r="I83" s="530"/>
      <c r="J83" s="527"/>
      <c r="K83" s="531">
        <f>SUM(J84:J121)</f>
        <v>1548.89</v>
      </c>
      <c r="M83" s="416"/>
      <c r="N83" s="407"/>
      <c r="O83" s="407"/>
      <c r="P83" s="416"/>
      <c r="Q83" s="407"/>
      <c r="R83" s="416"/>
      <c r="S83" s="409"/>
      <c r="T83" s="249"/>
    </row>
    <row r="84" spans="1:20" ht="6.75" customHeight="1" x14ac:dyDescent="0.15">
      <c r="K84" s="532"/>
      <c r="M84" s="406"/>
      <c r="N84" s="407"/>
      <c r="O84" s="408"/>
      <c r="P84" s="416"/>
      <c r="Q84" s="408"/>
      <c r="R84" s="406"/>
      <c r="S84" s="409"/>
      <c r="T84" s="189"/>
    </row>
    <row r="85" spans="1:20" x14ac:dyDescent="0.15">
      <c r="A85" s="533" t="s">
        <v>611</v>
      </c>
      <c r="B85" s="534" t="s">
        <v>777</v>
      </c>
      <c r="C85" s="516" t="s">
        <v>297</v>
      </c>
      <c r="D85" s="523">
        <v>4</v>
      </c>
      <c r="E85" s="523">
        <v>3.13</v>
      </c>
      <c r="F85" s="523">
        <v>1</v>
      </c>
      <c r="G85" s="523">
        <v>1</v>
      </c>
      <c r="H85" s="520">
        <f>+D85*E85*F85*G85</f>
        <v>12.52</v>
      </c>
      <c r="I85" s="535">
        <v>65.61</v>
      </c>
      <c r="J85" s="536">
        <f>I85*H85</f>
        <v>821.44</v>
      </c>
      <c r="K85" s="532"/>
      <c r="M85" s="406"/>
      <c r="N85" s="407"/>
      <c r="O85" s="408"/>
      <c r="P85" s="416"/>
      <c r="Q85" s="408">
        <v>1</v>
      </c>
      <c r="R85" s="406"/>
      <c r="S85" s="409">
        <f t="shared" ref="S85" si="40">SUM(M85:R85)</f>
        <v>1</v>
      </c>
      <c r="T85" s="415">
        <f t="shared" ref="T85" si="41">S85*J85</f>
        <v>821.44</v>
      </c>
    </row>
    <row r="86" spans="1:20" ht="6.75" customHeight="1" x14ac:dyDescent="0.15">
      <c r="K86" s="532"/>
      <c r="M86" s="406"/>
      <c r="N86" s="414"/>
      <c r="O86" s="408"/>
      <c r="P86" s="416"/>
      <c r="Q86" s="408"/>
      <c r="R86" s="568"/>
      <c r="S86" s="409"/>
      <c r="T86" s="415"/>
    </row>
    <row r="87" spans="1:20" x14ac:dyDescent="0.15">
      <c r="A87" s="533" t="s">
        <v>619</v>
      </c>
      <c r="B87" s="534" t="s">
        <v>778</v>
      </c>
      <c r="C87" s="516"/>
      <c r="D87" s="523"/>
      <c r="E87" s="523"/>
      <c r="F87" s="523"/>
      <c r="G87" s="523"/>
      <c r="I87" s="535"/>
      <c r="J87" s="536"/>
      <c r="K87" s="532"/>
      <c r="M87" s="406"/>
      <c r="N87" s="407"/>
      <c r="O87" s="408"/>
      <c r="P87" s="416"/>
      <c r="Q87" s="408"/>
      <c r="R87" s="568"/>
      <c r="S87" s="409"/>
      <c r="T87" s="415"/>
    </row>
    <row r="88" spans="1:20" x14ac:dyDescent="0.15">
      <c r="A88" s="547" t="s">
        <v>195</v>
      </c>
      <c r="B88" s="517" t="s">
        <v>194</v>
      </c>
      <c r="C88" s="516" t="s">
        <v>308</v>
      </c>
      <c r="D88" s="523"/>
      <c r="E88" s="523"/>
      <c r="F88" s="523"/>
      <c r="G88" s="523"/>
      <c r="H88" s="520">
        <v>-3</v>
      </c>
      <c r="I88" s="535">
        <v>222</v>
      </c>
      <c r="J88" s="536">
        <f t="shared" ref="J88:J91" si="42">I88*H88</f>
        <v>-666</v>
      </c>
      <c r="K88" s="532"/>
      <c r="M88" s="406"/>
      <c r="N88" s="407"/>
      <c r="O88" s="408"/>
      <c r="P88" s="416"/>
      <c r="Q88" s="408">
        <v>0.05</v>
      </c>
      <c r="R88" s="568">
        <v>0</v>
      </c>
      <c r="S88" s="409">
        <f t="shared" ref="S88:S91" si="43">SUM(M88:R88)</f>
        <v>0.05</v>
      </c>
      <c r="T88" s="415">
        <f t="shared" ref="T88:T91" si="44">S88*J88</f>
        <v>-33.299999999999997</v>
      </c>
    </row>
    <row r="89" spans="1:20" x14ac:dyDescent="0.15">
      <c r="A89" s="547" t="s">
        <v>197</v>
      </c>
      <c r="B89" s="517" t="s">
        <v>198</v>
      </c>
      <c r="C89" s="516" t="s">
        <v>308</v>
      </c>
      <c r="D89" s="523"/>
      <c r="E89" s="523"/>
      <c r="F89" s="523"/>
      <c r="G89" s="523"/>
      <c r="H89" s="520">
        <v>-3</v>
      </c>
      <c r="I89" s="535">
        <v>237.6</v>
      </c>
      <c r="J89" s="536">
        <f t="shared" si="42"/>
        <v>-712.8</v>
      </c>
      <c r="K89" s="532"/>
      <c r="M89" s="406"/>
      <c r="N89" s="407"/>
      <c r="O89" s="408"/>
      <c r="P89" s="416"/>
      <c r="Q89" s="408">
        <v>0.05</v>
      </c>
      <c r="R89" s="568">
        <v>0</v>
      </c>
      <c r="S89" s="409">
        <f t="shared" si="43"/>
        <v>0.05</v>
      </c>
      <c r="T89" s="415">
        <f t="shared" si="44"/>
        <v>-35.64</v>
      </c>
    </row>
    <row r="90" spans="1:20" x14ac:dyDescent="0.15">
      <c r="A90" s="533"/>
      <c r="B90" s="517" t="s">
        <v>779</v>
      </c>
      <c r="C90" s="516" t="s">
        <v>308</v>
      </c>
      <c r="D90" s="523"/>
      <c r="E90" s="523"/>
      <c r="F90" s="523"/>
      <c r="G90" s="523"/>
      <c r="H90" s="520">
        <v>3</v>
      </c>
      <c r="I90" s="535">
        <v>197.5</v>
      </c>
      <c r="J90" s="536">
        <f t="shared" si="42"/>
        <v>592.5</v>
      </c>
      <c r="K90" s="532"/>
      <c r="M90" s="406"/>
      <c r="N90" s="407"/>
      <c r="O90" s="408"/>
      <c r="P90" s="416"/>
      <c r="Q90" s="408">
        <v>0.05</v>
      </c>
      <c r="R90" s="568">
        <v>0</v>
      </c>
      <c r="S90" s="409">
        <f t="shared" si="43"/>
        <v>0.05</v>
      </c>
      <c r="T90" s="415">
        <f t="shared" si="44"/>
        <v>29.63</v>
      </c>
    </row>
    <row r="91" spans="1:20" x14ac:dyDescent="0.15">
      <c r="A91" s="533"/>
      <c r="B91" s="517" t="s">
        <v>780</v>
      </c>
      <c r="C91" s="516" t="s">
        <v>308</v>
      </c>
      <c r="D91" s="523"/>
      <c r="E91" s="523"/>
      <c r="F91" s="523"/>
      <c r="G91" s="523"/>
      <c r="H91" s="520">
        <v>3</v>
      </c>
      <c r="I91" s="535">
        <v>342.5</v>
      </c>
      <c r="J91" s="536">
        <f t="shared" si="42"/>
        <v>1027.5</v>
      </c>
      <c r="K91" s="532"/>
      <c r="M91" s="406"/>
      <c r="N91" s="407"/>
      <c r="O91" s="408"/>
      <c r="P91" s="416"/>
      <c r="Q91" s="408">
        <v>0.05</v>
      </c>
      <c r="R91" s="568">
        <v>0</v>
      </c>
      <c r="S91" s="409">
        <f t="shared" si="43"/>
        <v>0.05</v>
      </c>
      <c r="T91" s="415">
        <f t="shared" si="44"/>
        <v>51.38</v>
      </c>
    </row>
    <row r="92" spans="1:20" ht="6.75" customHeight="1" x14ac:dyDescent="0.15">
      <c r="K92" s="532"/>
      <c r="M92" s="406"/>
      <c r="N92" s="414"/>
      <c r="O92" s="408"/>
      <c r="P92" s="416"/>
      <c r="Q92" s="408"/>
      <c r="R92" s="568"/>
      <c r="S92" s="409"/>
      <c r="T92" s="415"/>
    </row>
    <row r="93" spans="1:20" x14ac:dyDescent="0.15">
      <c r="A93" s="533" t="s">
        <v>631</v>
      </c>
      <c r="B93" s="534" t="s">
        <v>781</v>
      </c>
      <c r="C93" s="516"/>
      <c r="D93" s="523"/>
      <c r="E93" s="523"/>
      <c r="F93" s="523"/>
      <c r="G93" s="523"/>
      <c r="I93" s="535"/>
      <c r="J93" s="536"/>
      <c r="K93" s="532"/>
      <c r="M93" s="406"/>
      <c r="N93" s="407"/>
      <c r="O93" s="408"/>
      <c r="P93" s="416"/>
      <c r="Q93" s="408"/>
      <c r="R93" s="568"/>
      <c r="S93" s="409"/>
      <c r="T93" s="415"/>
    </row>
    <row r="94" spans="1:20" x14ac:dyDescent="0.15">
      <c r="A94" s="533"/>
      <c r="B94" s="517" t="s">
        <v>819</v>
      </c>
      <c r="C94" s="516" t="s">
        <v>308</v>
      </c>
      <c r="D94" s="523"/>
      <c r="E94" s="523"/>
      <c r="F94" s="523"/>
      <c r="G94" s="523"/>
      <c r="H94" s="520">
        <v>1</v>
      </c>
      <c r="I94" s="535">
        <v>486.25</v>
      </c>
      <c r="J94" s="536">
        <f t="shared" ref="J94" si="45">I94*H94</f>
        <v>486.25</v>
      </c>
      <c r="K94" s="532"/>
      <c r="M94" s="406"/>
      <c r="N94" s="407"/>
      <c r="O94" s="408"/>
      <c r="P94" s="416"/>
      <c r="Q94" s="408">
        <v>0.05</v>
      </c>
      <c r="R94" s="568">
        <v>0</v>
      </c>
      <c r="S94" s="409">
        <f t="shared" ref="S94" si="46">SUM(M94:R94)</f>
        <v>0.05</v>
      </c>
      <c r="T94" s="415">
        <f t="shared" ref="T94" si="47">S94*J94</f>
        <v>24.31</v>
      </c>
    </row>
    <row r="95" spans="1:20" ht="16" x14ac:dyDescent="0.15">
      <c r="A95" s="533"/>
      <c r="B95" s="517" t="s">
        <v>820</v>
      </c>
      <c r="C95" s="516" t="s">
        <v>308</v>
      </c>
      <c r="D95" s="523"/>
      <c r="E95" s="523"/>
      <c r="F95" s="523"/>
      <c r="G95" s="523"/>
      <c r="H95" s="520">
        <v>17</v>
      </c>
      <c r="I95" s="535">
        <v>476.25</v>
      </c>
      <c r="J95" s="583"/>
      <c r="K95" s="584" t="s">
        <v>770</v>
      </c>
      <c r="M95" s="406"/>
      <c r="N95" s="407"/>
      <c r="O95" s="408"/>
      <c r="P95" s="416"/>
      <c r="Q95" s="408"/>
      <c r="R95" s="406"/>
      <c r="S95" s="409"/>
      <c r="T95" s="415"/>
    </row>
    <row r="96" spans="1:20" ht="16" x14ac:dyDescent="0.15">
      <c r="A96" s="533"/>
      <c r="B96" s="517" t="s">
        <v>782</v>
      </c>
      <c r="C96" s="516" t="s">
        <v>307</v>
      </c>
      <c r="D96" s="523"/>
      <c r="E96" s="523"/>
      <c r="F96" s="523"/>
      <c r="G96" s="523"/>
      <c r="H96" s="520">
        <v>880</v>
      </c>
      <c r="I96" s="535">
        <v>14.23</v>
      </c>
      <c r="J96" s="536"/>
      <c r="K96" s="532" t="s">
        <v>770</v>
      </c>
      <c r="M96" s="406"/>
      <c r="N96" s="407"/>
      <c r="O96" s="408"/>
      <c r="P96" s="416"/>
      <c r="Q96" s="408"/>
      <c r="R96" s="406"/>
      <c r="S96" s="409"/>
      <c r="T96" s="415"/>
    </row>
    <row r="97" spans="1:20" ht="48" x14ac:dyDescent="0.15">
      <c r="A97" s="533"/>
      <c r="B97" s="517" t="s">
        <v>792</v>
      </c>
      <c r="C97" s="516" t="s">
        <v>307</v>
      </c>
      <c r="D97" s="523"/>
      <c r="E97" s="523"/>
      <c r="F97" s="523"/>
      <c r="G97" s="523"/>
      <c r="H97" s="520">
        <v>880</v>
      </c>
      <c r="I97" s="535">
        <v>7.63</v>
      </c>
      <c r="J97" s="536"/>
      <c r="K97" s="584" t="s">
        <v>852</v>
      </c>
      <c r="M97" s="406"/>
      <c r="N97" s="407"/>
      <c r="O97" s="408"/>
      <c r="P97" s="416"/>
      <c r="Q97" s="408"/>
      <c r="R97" s="406"/>
      <c r="S97" s="409"/>
      <c r="T97" s="415"/>
    </row>
    <row r="98" spans="1:20" ht="16" x14ac:dyDescent="0.15">
      <c r="A98" s="533"/>
      <c r="B98" s="517" t="s">
        <v>783</v>
      </c>
      <c r="C98" s="516" t="s">
        <v>307</v>
      </c>
      <c r="D98" s="523"/>
      <c r="E98" s="523"/>
      <c r="F98" s="523"/>
      <c r="G98" s="523"/>
      <c r="H98" s="520">
        <v>70</v>
      </c>
      <c r="I98" s="535">
        <v>48.3</v>
      </c>
      <c r="J98" s="536"/>
      <c r="K98" s="532" t="s">
        <v>770</v>
      </c>
      <c r="M98" s="406"/>
      <c r="N98" s="407"/>
      <c r="O98" s="408"/>
      <c r="P98" s="416"/>
      <c r="Q98" s="408"/>
      <c r="R98" s="406"/>
      <c r="S98" s="409"/>
      <c r="T98" s="415"/>
    </row>
    <row r="99" spans="1:20" ht="6.75" customHeight="1" x14ac:dyDescent="0.15">
      <c r="K99" s="532"/>
      <c r="M99" s="418"/>
      <c r="N99" s="419"/>
      <c r="O99" s="420"/>
      <c r="P99" s="503"/>
      <c r="Q99" s="420"/>
      <c r="R99" s="418"/>
      <c r="S99" s="421"/>
      <c r="T99" s="422"/>
    </row>
    <row r="100" spans="1:20" ht="16" x14ac:dyDescent="0.15">
      <c r="A100" s="533" t="s">
        <v>635</v>
      </c>
      <c r="B100" s="534" t="s">
        <v>793</v>
      </c>
      <c r="C100" s="516"/>
      <c r="D100" s="523"/>
      <c r="E100" s="523"/>
      <c r="F100" s="523"/>
      <c r="G100" s="523"/>
      <c r="I100" s="535"/>
      <c r="J100" s="536"/>
      <c r="K100" s="532" t="s">
        <v>770</v>
      </c>
      <c r="M100" s="406"/>
      <c r="N100" s="407"/>
      <c r="O100" s="408"/>
      <c r="P100" s="416"/>
      <c r="Q100" s="408"/>
      <c r="R100" s="406"/>
      <c r="S100" s="409"/>
      <c r="T100" s="415"/>
    </row>
    <row r="101" spans="1:20" x14ac:dyDescent="0.15">
      <c r="A101" s="533"/>
      <c r="B101" s="517" t="s">
        <v>821</v>
      </c>
      <c r="C101" s="516"/>
      <c r="D101" s="523"/>
      <c r="E101" s="523"/>
      <c r="F101" s="523"/>
      <c r="G101" s="523"/>
      <c r="I101" s="535"/>
      <c r="J101" s="536"/>
      <c r="K101" s="532"/>
      <c r="M101" s="406"/>
      <c r="N101" s="407"/>
      <c r="O101" s="408"/>
      <c r="P101" s="416"/>
      <c r="Q101" s="408"/>
      <c r="R101" s="406"/>
      <c r="S101" s="409"/>
      <c r="T101" s="415"/>
    </row>
    <row r="102" spans="1:20" x14ac:dyDescent="0.15">
      <c r="A102" s="533"/>
      <c r="B102" s="517" t="s">
        <v>822</v>
      </c>
      <c r="C102" s="516" t="s">
        <v>308</v>
      </c>
      <c r="D102" s="523"/>
      <c r="E102" s="523"/>
      <c r="F102" s="523"/>
      <c r="G102" s="523"/>
      <c r="H102" s="520">
        <v>2</v>
      </c>
      <c r="I102" s="535">
        <v>120</v>
      </c>
      <c r="J102" s="536"/>
      <c r="K102" s="532"/>
      <c r="M102" s="406"/>
      <c r="N102" s="407"/>
      <c r="O102" s="408"/>
      <c r="P102" s="416"/>
      <c r="Q102" s="408"/>
      <c r="R102" s="406"/>
      <c r="S102" s="409"/>
      <c r="T102" s="415"/>
    </row>
    <row r="103" spans="1:20" x14ac:dyDescent="0.15">
      <c r="A103" s="533"/>
      <c r="B103" s="517" t="s">
        <v>823</v>
      </c>
      <c r="C103" s="516" t="s">
        <v>308</v>
      </c>
      <c r="D103" s="523"/>
      <c r="E103" s="523"/>
      <c r="F103" s="523"/>
      <c r="G103" s="523"/>
      <c r="H103" s="520">
        <v>1</v>
      </c>
      <c r="I103" s="535">
        <v>231.25</v>
      </c>
      <c r="J103" s="536"/>
      <c r="K103" s="532"/>
      <c r="M103" s="406"/>
      <c r="N103" s="407"/>
      <c r="O103" s="408"/>
      <c r="P103" s="416"/>
      <c r="Q103" s="408"/>
      <c r="R103" s="406"/>
      <c r="S103" s="409"/>
      <c r="T103" s="415"/>
    </row>
    <row r="104" spans="1:20" x14ac:dyDescent="0.15">
      <c r="A104" s="533"/>
      <c r="B104" s="517" t="s">
        <v>824</v>
      </c>
      <c r="C104" s="516"/>
      <c r="D104" s="523"/>
      <c r="E104" s="523"/>
      <c r="F104" s="523"/>
      <c r="G104" s="523"/>
      <c r="I104" s="535"/>
      <c r="J104" s="536"/>
      <c r="K104" s="532"/>
      <c r="M104" s="406"/>
      <c r="N104" s="407"/>
      <c r="O104" s="408"/>
      <c r="P104" s="416"/>
      <c r="Q104" s="408"/>
      <c r="R104" s="406"/>
      <c r="S104" s="409"/>
      <c r="T104" s="415"/>
    </row>
    <row r="105" spans="1:20" x14ac:dyDescent="0.15">
      <c r="A105" s="533"/>
      <c r="B105" s="517" t="s">
        <v>825</v>
      </c>
      <c r="C105" s="516" t="s">
        <v>308</v>
      </c>
      <c r="D105" s="523"/>
      <c r="E105" s="523"/>
      <c r="F105" s="523"/>
      <c r="G105" s="523"/>
      <c r="H105" s="520">
        <v>2</v>
      </c>
      <c r="I105" s="535">
        <v>231.25</v>
      </c>
      <c r="J105" s="536"/>
      <c r="K105" s="532"/>
      <c r="M105" s="406"/>
      <c r="N105" s="407"/>
      <c r="O105" s="408"/>
      <c r="P105" s="416"/>
      <c r="Q105" s="408"/>
      <c r="R105" s="406"/>
      <c r="S105" s="409"/>
      <c r="T105" s="415"/>
    </row>
    <row r="106" spans="1:20" x14ac:dyDescent="0.15">
      <c r="A106" s="533"/>
      <c r="B106" s="517" t="s">
        <v>826</v>
      </c>
      <c r="C106" s="516"/>
      <c r="D106" s="523"/>
      <c r="E106" s="523"/>
      <c r="F106" s="523"/>
      <c r="G106" s="523"/>
      <c r="I106" s="535"/>
      <c r="J106" s="536"/>
      <c r="K106" s="532"/>
      <c r="M106" s="406"/>
      <c r="N106" s="407"/>
      <c r="O106" s="408"/>
      <c r="P106" s="416"/>
      <c r="Q106" s="408"/>
      <c r="R106" s="406"/>
      <c r="S106" s="409"/>
      <c r="T106" s="415"/>
    </row>
    <row r="107" spans="1:20" x14ac:dyDescent="0.15">
      <c r="A107" s="533"/>
      <c r="B107" s="517" t="s">
        <v>827</v>
      </c>
      <c r="C107" s="516" t="s">
        <v>308</v>
      </c>
      <c r="D107" s="523"/>
      <c r="E107" s="523"/>
      <c r="F107" s="523"/>
      <c r="G107" s="523"/>
      <c r="H107" s="520">
        <v>1</v>
      </c>
      <c r="I107" s="535">
        <v>266.25</v>
      </c>
      <c r="J107" s="536"/>
      <c r="K107" s="532"/>
      <c r="M107" s="406"/>
      <c r="N107" s="407"/>
      <c r="O107" s="408"/>
      <c r="P107" s="416"/>
      <c r="Q107" s="408"/>
      <c r="R107" s="406"/>
      <c r="S107" s="409"/>
      <c r="T107" s="415"/>
    </row>
    <row r="108" spans="1:20" x14ac:dyDescent="0.15">
      <c r="A108" s="533"/>
      <c r="B108" s="517" t="s">
        <v>828</v>
      </c>
      <c r="C108" s="516" t="s">
        <v>308</v>
      </c>
      <c r="D108" s="523"/>
      <c r="E108" s="523"/>
      <c r="F108" s="523"/>
      <c r="G108" s="523"/>
      <c r="H108" s="520">
        <v>1</v>
      </c>
      <c r="I108" s="535">
        <v>239.25</v>
      </c>
      <c r="J108" s="536"/>
      <c r="K108" s="532"/>
      <c r="M108" s="406"/>
      <c r="N108" s="407"/>
      <c r="O108" s="408"/>
      <c r="P108" s="416"/>
      <c r="Q108" s="408"/>
      <c r="R108" s="406"/>
      <c r="S108" s="409"/>
      <c r="T108" s="415"/>
    </row>
    <row r="109" spans="1:20" x14ac:dyDescent="0.15">
      <c r="A109" s="533"/>
      <c r="B109" s="517" t="s">
        <v>829</v>
      </c>
      <c r="C109" s="516" t="s">
        <v>308</v>
      </c>
      <c r="D109" s="523"/>
      <c r="E109" s="523"/>
      <c r="F109" s="523"/>
      <c r="G109" s="523"/>
      <c r="H109" s="520">
        <v>1</v>
      </c>
      <c r="I109" s="535">
        <v>117.5</v>
      </c>
      <c r="J109" s="536"/>
      <c r="K109" s="532"/>
      <c r="M109" s="406"/>
      <c r="N109" s="407"/>
      <c r="O109" s="408"/>
      <c r="P109" s="416"/>
      <c r="Q109" s="408"/>
      <c r="R109" s="406"/>
      <c r="S109" s="409"/>
      <c r="T109" s="415"/>
    </row>
    <row r="110" spans="1:20" x14ac:dyDescent="0.15">
      <c r="A110" s="533"/>
      <c r="B110" s="517" t="s">
        <v>830</v>
      </c>
      <c r="C110" s="516" t="s">
        <v>308</v>
      </c>
      <c r="D110" s="523"/>
      <c r="E110" s="523"/>
      <c r="F110" s="523"/>
      <c r="G110" s="523"/>
      <c r="H110" s="520">
        <v>7</v>
      </c>
      <c r="I110" s="535">
        <v>105</v>
      </c>
      <c r="J110" s="536"/>
      <c r="K110" s="532"/>
      <c r="M110" s="406"/>
      <c r="N110" s="407"/>
      <c r="O110" s="408"/>
      <c r="P110" s="416"/>
      <c r="Q110" s="408"/>
      <c r="R110" s="406"/>
      <c r="S110" s="409"/>
      <c r="T110" s="415"/>
    </row>
    <row r="111" spans="1:20" x14ac:dyDescent="0.15">
      <c r="A111" s="533"/>
      <c r="B111" s="517" t="s">
        <v>831</v>
      </c>
      <c r="C111" s="516" t="s">
        <v>308</v>
      </c>
      <c r="D111" s="523"/>
      <c r="E111" s="523"/>
      <c r="F111" s="523"/>
      <c r="G111" s="523"/>
      <c r="H111" s="520">
        <v>1</v>
      </c>
      <c r="I111" s="535">
        <v>168.75</v>
      </c>
      <c r="J111" s="536"/>
      <c r="K111" s="532"/>
      <c r="M111" s="406"/>
      <c r="N111" s="407"/>
      <c r="O111" s="408"/>
      <c r="P111" s="416"/>
      <c r="Q111" s="408"/>
      <c r="R111" s="406"/>
      <c r="S111" s="409"/>
      <c r="T111" s="415"/>
    </row>
    <row r="112" spans="1:20" x14ac:dyDescent="0.15">
      <c r="A112" s="533"/>
      <c r="B112" s="517" t="s">
        <v>832</v>
      </c>
      <c r="C112" s="516" t="s">
        <v>308</v>
      </c>
      <c r="D112" s="523"/>
      <c r="E112" s="523"/>
      <c r="F112" s="523"/>
      <c r="G112" s="523"/>
      <c r="H112" s="520">
        <v>1</v>
      </c>
      <c r="I112" s="535">
        <v>1585</v>
      </c>
      <c r="J112" s="536"/>
      <c r="K112" s="532"/>
      <c r="M112" s="406"/>
      <c r="N112" s="407"/>
      <c r="O112" s="408"/>
      <c r="P112" s="416"/>
      <c r="Q112" s="408"/>
      <c r="R112" s="406"/>
      <c r="S112" s="409"/>
      <c r="T112" s="415"/>
    </row>
    <row r="113" spans="1:20" x14ac:dyDescent="0.15">
      <c r="A113" s="533"/>
      <c r="B113" s="546" t="s">
        <v>833</v>
      </c>
      <c r="C113" s="516"/>
      <c r="D113" s="523"/>
      <c r="E113" s="523"/>
      <c r="F113" s="523"/>
      <c r="G113" s="523"/>
      <c r="I113" s="535"/>
      <c r="J113" s="536"/>
      <c r="K113" s="532"/>
      <c r="M113" s="406"/>
      <c r="N113" s="407"/>
      <c r="O113" s="408"/>
      <c r="P113" s="416"/>
      <c r="Q113" s="408"/>
      <c r="R113" s="406"/>
      <c r="S113" s="409"/>
      <c r="T113" s="415"/>
    </row>
    <row r="114" spans="1:20" x14ac:dyDescent="0.15">
      <c r="A114" s="533"/>
      <c r="B114" s="546" t="s">
        <v>834</v>
      </c>
      <c r="C114" s="516"/>
      <c r="D114" s="523"/>
      <c r="E114" s="523"/>
      <c r="F114" s="523"/>
      <c r="G114" s="523"/>
      <c r="I114" s="535"/>
      <c r="J114" s="536"/>
      <c r="K114" s="532"/>
      <c r="M114" s="406"/>
      <c r="N114" s="407"/>
      <c r="O114" s="408"/>
      <c r="P114" s="416"/>
      <c r="Q114" s="408"/>
      <c r="R114" s="406"/>
      <c r="S114" s="409"/>
      <c r="T114" s="415"/>
    </row>
    <row r="115" spans="1:20" x14ac:dyDescent="0.15">
      <c r="A115" s="533"/>
      <c r="B115" s="546" t="s">
        <v>835</v>
      </c>
      <c r="C115" s="516"/>
      <c r="D115" s="523"/>
      <c r="E115" s="523"/>
      <c r="F115" s="523"/>
      <c r="G115" s="523"/>
      <c r="I115" s="535"/>
      <c r="J115" s="536"/>
      <c r="K115" s="532"/>
      <c r="M115" s="406"/>
      <c r="N115" s="407"/>
      <c r="O115" s="408"/>
      <c r="P115" s="416"/>
      <c r="Q115" s="408"/>
      <c r="R115" s="406"/>
      <c r="S115" s="409"/>
      <c r="T115" s="415"/>
    </row>
    <row r="116" spans="1:20" x14ac:dyDescent="0.15">
      <c r="A116" s="533"/>
      <c r="B116" s="546" t="s">
        <v>836</v>
      </c>
      <c r="C116" s="516"/>
      <c r="D116" s="523"/>
      <c r="E116" s="523"/>
      <c r="F116" s="523"/>
      <c r="G116" s="523"/>
      <c r="I116" s="535"/>
      <c r="J116" s="536"/>
      <c r="K116" s="532"/>
      <c r="M116" s="406"/>
      <c r="N116" s="407"/>
      <c r="O116" s="408"/>
      <c r="P116" s="416"/>
      <c r="Q116" s="408"/>
      <c r="R116" s="406"/>
      <c r="S116" s="409"/>
      <c r="T116" s="415"/>
    </row>
    <row r="117" spans="1:20" x14ac:dyDescent="0.15">
      <c r="A117" s="533"/>
      <c r="B117" s="546" t="s">
        <v>837</v>
      </c>
      <c r="C117" s="516"/>
      <c r="D117" s="523"/>
      <c r="E117" s="523"/>
      <c r="F117" s="523"/>
      <c r="G117" s="523"/>
      <c r="I117" s="535"/>
      <c r="J117" s="536"/>
      <c r="K117" s="532"/>
      <c r="M117" s="406"/>
      <c r="N117" s="407"/>
      <c r="O117" s="408"/>
      <c r="P117" s="416"/>
      <c r="Q117" s="408"/>
      <c r="R117" s="406"/>
      <c r="S117" s="409"/>
      <c r="T117" s="415"/>
    </row>
    <row r="118" spans="1:20" x14ac:dyDescent="0.15">
      <c r="A118" s="533"/>
      <c r="B118" s="517" t="s">
        <v>838</v>
      </c>
      <c r="C118" s="516" t="s">
        <v>308</v>
      </c>
      <c r="D118" s="523"/>
      <c r="E118" s="523"/>
      <c r="F118" s="523"/>
      <c r="G118" s="523"/>
      <c r="H118" s="520">
        <v>1</v>
      </c>
      <c r="I118" s="535">
        <v>393.75</v>
      </c>
      <c r="J118" s="536"/>
      <c r="K118" s="532"/>
      <c r="M118" s="406"/>
      <c r="N118" s="407"/>
      <c r="O118" s="408"/>
      <c r="P118" s="416"/>
      <c r="Q118" s="408"/>
      <c r="R118" s="406"/>
      <c r="S118" s="409"/>
      <c r="T118" s="415"/>
    </row>
    <row r="119" spans="1:20" x14ac:dyDescent="0.15">
      <c r="A119" s="533"/>
      <c r="B119" s="546" t="s">
        <v>839</v>
      </c>
      <c r="C119" s="516"/>
      <c r="D119" s="523"/>
      <c r="E119" s="523"/>
      <c r="F119" s="523"/>
      <c r="G119" s="523"/>
      <c r="I119" s="535"/>
      <c r="J119" s="536"/>
      <c r="K119" s="532"/>
      <c r="M119" s="406"/>
      <c r="N119" s="407"/>
      <c r="O119" s="408"/>
      <c r="P119" s="416"/>
      <c r="Q119" s="408"/>
      <c r="R119" s="406"/>
      <c r="S119" s="409"/>
      <c r="T119" s="415"/>
    </row>
    <row r="120" spans="1:20" x14ac:dyDescent="0.15">
      <c r="A120" s="533"/>
      <c r="B120" s="546" t="s">
        <v>840</v>
      </c>
      <c r="C120" s="516"/>
      <c r="D120" s="523"/>
      <c r="E120" s="523"/>
      <c r="F120" s="523"/>
      <c r="G120" s="523"/>
      <c r="I120" s="535"/>
      <c r="J120" s="536"/>
      <c r="K120" s="532"/>
      <c r="M120" s="406"/>
      <c r="N120" s="407"/>
      <c r="O120" s="408"/>
      <c r="P120" s="416"/>
      <c r="Q120" s="408"/>
      <c r="R120" s="406"/>
      <c r="S120" s="409"/>
      <c r="T120" s="415"/>
    </row>
    <row r="121" spans="1:20" ht="6.75" customHeight="1" x14ac:dyDescent="0.15">
      <c r="K121" s="532"/>
      <c r="M121" s="418"/>
      <c r="N121" s="419"/>
      <c r="O121" s="420"/>
      <c r="P121" s="503"/>
      <c r="Q121" s="420"/>
      <c r="R121" s="418"/>
      <c r="S121" s="421"/>
      <c r="T121" s="422"/>
    </row>
    <row r="122" spans="1:20" x14ac:dyDescent="0.15">
      <c r="A122" s="526" t="s">
        <v>678</v>
      </c>
      <c r="B122" s="527" t="s">
        <v>794</v>
      </c>
      <c r="C122" s="527"/>
      <c r="D122" s="528"/>
      <c r="E122" s="528"/>
      <c r="F122" s="528"/>
      <c r="G122" s="528"/>
      <c r="H122" s="529"/>
      <c r="I122" s="530"/>
      <c r="J122" s="527"/>
      <c r="K122" s="531">
        <f>SUM(J123:J133)</f>
        <v>0</v>
      </c>
      <c r="M122" s="416"/>
      <c r="N122" s="407"/>
      <c r="O122" s="407"/>
      <c r="P122" s="416"/>
      <c r="Q122" s="407"/>
      <c r="R122" s="416"/>
      <c r="S122" s="409"/>
      <c r="T122" s="249"/>
    </row>
    <row r="123" spans="1:20" ht="6.75" customHeight="1" x14ac:dyDescent="0.15">
      <c r="K123" s="532"/>
      <c r="M123" s="406"/>
      <c r="N123" s="407"/>
      <c r="O123" s="408"/>
      <c r="P123" s="416"/>
      <c r="Q123" s="408"/>
      <c r="R123" s="406"/>
      <c r="S123" s="409"/>
      <c r="T123" s="189"/>
    </row>
    <row r="124" spans="1:20" ht="16" x14ac:dyDescent="0.15">
      <c r="A124" s="533" t="s">
        <v>679</v>
      </c>
      <c r="B124" s="534" t="s">
        <v>795</v>
      </c>
      <c r="C124" s="516"/>
      <c r="D124" s="523"/>
      <c r="E124" s="523"/>
      <c r="F124" s="523"/>
      <c r="G124" s="523"/>
      <c r="I124" s="535"/>
      <c r="J124" s="536"/>
      <c r="K124" s="532" t="s">
        <v>770</v>
      </c>
      <c r="M124" s="406"/>
      <c r="N124" s="407"/>
      <c r="O124" s="408"/>
      <c r="P124" s="416"/>
      <c r="Q124" s="408"/>
      <c r="R124" s="406"/>
      <c r="S124" s="409"/>
      <c r="T124" s="415"/>
    </row>
    <row r="125" spans="1:20" x14ac:dyDescent="0.15">
      <c r="A125" s="547" t="s">
        <v>796</v>
      </c>
      <c r="B125" s="517" t="s">
        <v>797</v>
      </c>
      <c r="C125" s="516" t="s">
        <v>385</v>
      </c>
      <c r="D125" s="523"/>
      <c r="E125" s="523"/>
      <c r="F125" s="523"/>
      <c r="G125" s="523"/>
      <c r="H125" s="520">
        <v>-1</v>
      </c>
      <c r="I125" s="535">
        <v>6243.69</v>
      </c>
      <c r="J125" s="536"/>
      <c r="K125" s="532"/>
      <c r="M125" s="406"/>
      <c r="N125" s="407"/>
      <c r="O125" s="408"/>
      <c r="P125" s="416"/>
      <c r="Q125" s="408"/>
      <c r="R125" s="406"/>
      <c r="S125" s="409"/>
      <c r="T125" s="415"/>
    </row>
    <row r="126" spans="1:20" x14ac:dyDescent="0.15">
      <c r="A126" s="547" t="s">
        <v>798</v>
      </c>
      <c r="B126" s="517" t="s">
        <v>799</v>
      </c>
      <c r="C126" s="516" t="s">
        <v>385</v>
      </c>
      <c r="D126" s="523"/>
      <c r="E126" s="523"/>
      <c r="F126" s="523"/>
      <c r="G126" s="523"/>
      <c r="H126" s="520">
        <v>-1</v>
      </c>
      <c r="I126" s="535">
        <v>6292.54</v>
      </c>
      <c r="J126" s="536"/>
      <c r="K126" s="532"/>
      <c r="M126" s="406"/>
      <c r="N126" s="407"/>
      <c r="O126" s="408"/>
      <c r="P126" s="416"/>
      <c r="Q126" s="408"/>
      <c r="R126" s="406"/>
      <c r="S126" s="409"/>
      <c r="T126" s="415"/>
    </row>
    <row r="127" spans="1:20" ht="6.75" customHeight="1" x14ac:dyDescent="0.15">
      <c r="K127" s="532"/>
      <c r="M127" s="418"/>
      <c r="N127" s="419"/>
      <c r="O127" s="420"/>
      <c r="P127" s="503"/>
      <c r="Q127" s="420"/>
      <c r="R127" s="418"/>
      <c r="S127" s="421"/>
      <c r="T127" s="422"/>
    </row>
    <row r="128" spans="1:20" ht="16" x14ac:dyDescent="0.15">
      <c r="A128" s="533" t="s">
        <v>841</v>
      </c>
      <c r="B128" s="534" t="s">
        <v>800</v>
      </c>
      <c r="C128" s="516"/>
      <c r="D128" s="523"/>
      <c r="E128" s="523"/>
      <c r="F128" s="523"/>
      <c r="G128" s="523"/>
      <c r="I128" s="535"/>
      <c r="J128" s="536"/>
      <c r="K128" s="532" t="s">
        <v>770</v>
      </c>
      <c r="M128" s="406"/>
      <c r="N128" s="407"/>
      <c r="O128" s="408"/>
      <c r="P128" s="416"/>
      <c r="Q128" s="408"/>
      <c r="R128" s="406"/>
      <c r="S128" s="409"/>
      <c r="T128" s="415"/>
    </row>
    <row r="129" spans="1:22" x14ac:dyDescent="0.15">
      <c r="A129" s="547"/>
      <c r="B129" s="517" t="s">
        <v>801</v>
      </c>
      <c r="C129" s="516" t="s">
        <v>308</v>
      </c>
      <c r="D129" s="523"/>
      <c r="E129" s="523"/>
      <c r="F129" s="523"/>
      <c r="G129" s="523"/>
      <c r="H129" s="520">
        <v>1</v>
      </c>
      <c r="I129" s="535">
        <v>14325.48</v>
      </c>
      <c r="J129" s="536"/>
      <c r="K129" s="532"/>
      <c r="M129" s="406"/>
      <c r="N129" s="407"/>
      <c r="O129" s="408"/>
      <c r="P129" s="416"/>
      <c r="Q129" s="408"/>
      <c r="R129" s="406"/>
      <c r="S129" s="409"/>
      <c r="T129" s="415"/>
    </row>
    <row r="130" spans="1:22" x14ac:dyDescent="0.15">
      <c r="A130" s="547"/>
      <c r="B130" s="517" t="s">
        <v>802</v>
      </c>
      <c r="C130" s="516" t="s">
        <v>308</v>
      </c>
      <c r="D130" s="523"/>
      <c r="E130" s="523"/>
      <c r="F130" s="523"/>
      <c r="G130" s="523"/>
      <c r="H130" s="520">
        <v>1</v>
      </c>
      <c r="I130" s="535">
        <v>785</v>
      </c>
      <c r="J130" s="536"/>
      <c r="K130" s="532"/>
      <c r="M130" s="418"/>
      <c r="N130" s="514"/>
      <c r="O130" s="420"/>
      <c r="P130" s="503"/>
      <c r="Q130" s="420"/>
      <c r="R130" s="418"/>
      <c r="S130" s="421"/>
      <c r="T130" s="422"/>
    </row>
    <row r="131" spans="1:22" x14ac:dyDescent="0.15">
      <c r="A131" s="547"/>
      <c r="B131" s="517" t="s">
        <v>803</v>
      </c>
      <c r="C131" s="516" t="s">
        <v>308</v>
      </c>
      <c r="D131" s="523"/>
      <c r="E131" s="523"/>
      <c r="F131" s="523"/>
      <c r="G131" s="523"/>
      <c r="H131" s="520">
        <v>1</v>
      </c>
      <c r="I131" s="535">
        <v>275.29000000000002</v>
      </c>
      <c r="J131" s="536"/>
      <c r="K131" s="532"/>
      <c r="M131" s="406"/>
      <c r="N131" s="407"/>
      <c r="O131" s="408"/>
      <c r="P131" s="416"/>
      <c r="Q131" s="408"/>
      <c r="R131" s="406"/>
      <c r="S131" s="409"/>
      <c r="T131" s="415"/>
    </row>
    <row r="132" spans="1:22" ht="6.75" customHeight="1" x14ac:dyDescent="0.15">
      <c r="K132" s="532"/>
      <c r="M132" s="418"/>
      <c r="N132" s="419"/>
      <c r="O132" s="420"/>
      <c r="P132" s="503"/>
      <c r="Q132" s="420"/>
      <c r="R132" s="418"/>
      <c r="S132" s="421"/>
      <c r="T132" s="422"/>
    </row>
    <row r="133" spans="1:22" ht="6.75" customHeight="1" x14ac:dyDescent="0.15">
      <c r="K133" s="532"/>
      <c r="M133" s="418"/>
      <c r="N133" s="419"/>
      <c r="O133" s="420"/>
      <c r="P133" s="503"/>
      <c r="Q133" s="420"/>
      <c r="R133" s="418"/>
      <c r="S133" s="421"/>
      <c r="T133" s="422"/>
    </row>
    <row r="134" spans="1:22" x14ac:dyDescent="0.15">
      <c r="A134" s="526" t="s">
        <v>807</v>
      </c>
      <c r="B134" s="527" t="s">
        <v>804</v>
      </c>
      <c r="C134" s="527"/>
      <c r="D134" s="528"/>
      <c r="E134" s="528"/>
      <c r="F134" s="528"/>
      <c r="G134" s="528"/>
      <c r="H134" s="529"/>
      <c r="I134" s="530"/>
      <c r="J134" s="527"/>
      <c r="K134" s="531">
        <f>SUM(J135:J138)</f>
        <v>0</v>
      </c>
      <c r="M134" s="416"/>
      <c r="N134" s="407"/>
      <c r="O134" s="407"/>
      <c r="P134" s="416"/>
      <c r="Q134" s="407"/>
      <c r="R134" s="416"/>
      <c r="S134" s="409"/>
      <c r="T134" s="249"/>
    </row>
    <row r="135" spans="1:22" ht="6.75" customHeight="1" x14ac:dyDescent="0.15">
      <c r="K135" s="532"/>
      <c r="M135" s="406"/>
      <c r="N135" s="407"/>
      <c r="O135" s="408"/>
      <c r="P135" s="416"/>
      <c r="Q135" s="408"/>
      <c r="R135" s="406"/>
      <c r="S135" s="409"/>
      <c r="T135" s="189"/>
    </row>
    <row r="136" spans="1:22" ht="16" x14ac:dyDescent="0.15">
      <c r="A136" s="533" t="s">
        <v>842</v>
      </c>
      <c r="B136" s="534" t="s">
        <v>805</v>
      </c>
      <c r="C136" s="516"/>
      <c r="D136" s="523"/>
      <c r="E136" s="523"/>
      <c r="F136" s="523"/>
      <c r="G136" s="523"/>
      <c r="I136" s="535"/>
      <c r="J136" s="536"/>
      <c r="K136" s="532" t="s">
        <v>770</v>
      </c>
      <c r="M136" s="406"/>
      <c r="N136" s="407"/>
      <c r="O136" s="408"/>
      <c r="P136" s="416"/>
      <c r="Q136" s="408"/>
      <c r="R136" s="406"/>
      <c r="S136" s="409"/>
      <c r="T136" s="415"/>
    </row>
    <row r="137" spans="1:22" x14ac:dyDescent="0.15">
      <c r="A137" s="547"/>
      <c r="B137" s="517" t="s">
        <v>806</v>
      </c>
      <c r="C137" s="516" t="s">
        <v>308</v>
      </c>
      <c r="D137" s="523"/>
      <c r="E137" s="523"/>
      <c r="F137" s="523"/>
      <c r="G137" s="523"/>
      <c r="H137" s="520">
        <v>3</v>
      </c>
      <c r="I137" s="535">
        <v>300</v>
      </c>
      <c r="J137" s="536"/>
      <c r="K137" s="532"/>
      <c r="M137" s="406"/>
      <c r="N137" s="407"/>
      <c r="O137" s="408"/>
      <c r="P137" s="416"/>
      <c r="Q137" s="408"/>
      <c r="R137" s="406"/>
      <c r="S137" s="409"/>
      <c r="T137" s="415"/>
    </row>
    <row r="138" spans="1:22" ht="6.75" customHeight="1" x14ac:dyDescent="0.15">
      <c r="K138" s="532"/>
      <c r="M138" s="418"/>
      <c r="N138" s="419"/>
      <c r="O138" s="420"/>
      <c r="P138" s="503"/>
      <c r="Q138" s="420"/>
      <c r="R138" s="418"/>
      <c r="S138" s="421"/>
      <c r="T138" s="422"/>
    </row>
    <row r="139" spans="1:22" x14ac:dyDescent="0.15">
      <c r="A139" s="526" t="s">
        <v>843</v>
      </c>
      <c r="B139" s="527" t="s">
        <v>784</v>
      </c>
      <c r="C139" s="527"/>
      <c r="D139" s="528"/>
      <c r="E139" s="528"/>
      <c r="F139" s="528"/>
      <c r="G139" s="528"/>
      <c r="H139" s="529"/>
      <c r="I139" s="530"/>
      <c r="J139" s="527"/>
      <c r="K139" s="531">
        <f>SUM(J140:J163)</f>
        <v>-8655.3799999999992</v>
      </c>
      <c r="M139" s="416"/>
      <c r="N139" s="407"/>
      <c r="O139" s="407"/>
      <c r="P139" s="416"/>
      <c r="Q139" s="407"/>
      <c r="R139" s="416"/>
      <c r="S139" s="409"/>
      <c r="T139" s="249"/>
    </row>
    <row r="140" spans="1:22" ht="6.75" customHeight="1" x14ac:dyDescent="0.15">
      <c r="K140" s="532"/>
      <c r="M140" s="406"/>
      <c r="N140" s="407"/>
      <c r="O140" s="408"/>
      <c r="P140" s="416"/>
      <c r="Q140" s="408"/>
      <c r="R140" s="406"/>
      <c r="S140" s="409"/>
      <c r="T140" s="189"/>
    </row>
    <row r="141" spans="1:22" ht="16" x14ac:dyDescent="0.15">
      <c r="A141" s="533" t="s">
        <v>427</v>
      </c>
      <c r="B141" s="534" t="s">
        <v>785</v>
      </c>
      <c r="C141" s="516" t="s">
        <v>385</v>
      </c>
      <c r="D141" s="523"/>
      <c r="E141" s="523"/>
      <c r="F141" s="523"/>
      <c r="G141" s="523"/>
      <c r="H141" s="520">
        <v>1</v>
      </c>
      <c r="I141" s="535">
        <v>950</v>
      </c>
      <c r="J141" s="536">
        <f>I141*H141</f>
        <v>950</v>
      </c>
      <c r="K141" s="584" t="s">
        <v>850</v>
      </c>
      <c r="M141" s="406"/>
      <c r="N141" s="407"/>
      <c r="O141" s="408"/>
      <c r="P141" s="416"/>
      <c r="Q141" s="513">
        <v>0</v>
      </c>
      <c r="R141" s="406">
        <v>0</v>
      </c>
      <c r="S141" s="409">
        <f t="shared" ref="S141" si="48">SUM(M141:R141)</f>
        <v>0</v>
      </c>
      <c r="T141" s="415">
        <f t="shared" ref="T141" si="49">S141*J141</f>
        <v>0</v>
      </c>
      <c r="V141" s="521">
        <f>+J141</f>
        <v>950</v>
      </c>
    </row>
    <row r="142" spans="1:22" ht="6.75" customHeight="1" x14ac:dyDescent="0.15">
      <c r="K142" s="532"/>
      <c r="M142" s="406"/>
      <c r="N142" s="414"/>
      <c r="O142" s="408"/>
      <c r="P142" s="416"/>
      <c r="Q142" s="408"/>
      <c r="R142" s="406"/>
      <c r="S142" s="409"/>
      <c r="T142" s="415"/>
    </row>
    <row r="143" spans="1:22" ht="16" x14ac:dyDescent="0.15">
      <c r="A143" s="533" t="s">
        <v>212</v>
      </c>
      <c r="B143" s="585" t="s">
        <v>284</v>
      </c>
      <c r="C143" s="516" t="s">
        <v>297</v>
      </c>
      <c r="D143" s="523"/>
      <c r="E143" s="523"/>
      <c r="F143" s="523"/>
      <c r="G143" s="523"/>
      <c r="H143" s="580">
        <v>-200</v>
      </c>
      <c r="I143" s="535">
        <v>60.95</v>
      </c>
      <c r="J143" s="583">
        <f>I143*H143</f>
        <v>-12190</v>
      </c>
      <c r="K143" s="584" t="s">
        <v>855</v>
      </c>
      <c r="M143" s="406"/>
      <c r="N143" s="407"/>
      <c r="O143" s="408"/>
      <c r="P143" s="416"/>
      <c r="Q143" s="408">
        <v>1</v>
      </c>
      <c r="R143" s="406"/>
      <c r="S143" s="409">
        <f t="shared" ref="S143" si="50">SUM(M143:R143)</f>
        <v>1</v>
      </c>
      <c r="T143" s="415">
        <f t="shared" ref="T143" si="51">S143*J143</f>
        <v>-12190</v>
      </c>
    </row>
    <row r="144" spans="1:22" x14ac:dyDescent="0.15">
      <c r="A144" s="547" t="str">
        <f>+' - état 30 - Février  06  '!A189</f>
        <v>1.24.4</v>
      </c>
      <c r="B144" s="585" t="s">
        <v>856</v>
      </c>
      <c r="C144" s="516" t="s">
        <v>297</v>
      </c>
      <c r="D144" s="523">
        <v>-1</v>
      </c>
      <c r="E144" s="523">
        <f>1.82*2+2.18*2+0.5</f>
        <v>8.5</v>
      </c>
      <c r="F144" s="523"/>
      <c r="G144" s="523"/>
      <c r="H144" s="520">
        <f>+D144*E144</f>
        <v>-8.5</v>
      </c>
      <c r="I144" s="535">
        <v>60.95</v>
      </c>
      <c r="J144" s="536">
        <f>I144*H144</f>
        <v>-518.08000000000004</v>
      </c>
      <c r="K144" s="532"/>
      <c r="M144" s="406"/>
      <c r="N144" s="407"/>
      <c r="O144" s="408"/>
      <c r="P144" s="416"/>
      <c r="Q144" s="408">
        <v>1</v>
      </c>
      <c r="R144" s="406"/>
      <c r="S144" s="409">
        <f t="shared" ref="S144" si="52">SUM(M144:R144)</f>
        <v>1</v>
      </c>
      <c r="T144" s="415">
        <f t="shared" ref="T144:T147" si="53">S144*J144</f>
        <v>-518.08000000000004</v>
      </c>
    </row>
    <row r="145" spans="1:22" x14ac:dyDescent="0.15">
      <c r="A145" s="547" t="s">
        <v>212</v>
      </c>
      <c r="B145" s="585" t="s">
        <v>853</v>
      </c>
      <c r="C145" s="516" t="s">
        <v>297</v>
      </c>
      <c r="D145" s="523"/>
      <c r="E145" s="523"/>
      <c r="F145" s="523"/>
      <c r="G145" s="523"/>
      <c r="H145" s="580">
        <f>2+1.3*2+0.8+3.05*2.52</f>
        <v>13.09</v>
      </c>
      <c r="I145" s="535">
        <v>60.95</v>
      </c>
      <c r="J145" s="583">
        <f>I145*H145</f>
        <v>797.84</v>
      </c>
      <c r="K145" s="532"/>
      <c r="M145" s="406"/>
      <c r="N145" s="407"/>
      <c r="O145" s="408"/>
      <c r="P145" s="416"/>
      <c r="Q145" s="408">
        <v>1</v>
      </c>
      <c r="R145" s="406"/>
      <c r="S145" s="409">
        <f t="shared" ref="S145:S147" si="54">SUM(M145:R145)</f>
        <v>1</v>
      </c>
      <c r="T145" s="415">
        <f t="shared" si="53"/>
        <v>797.84</v>
      </c>
    </row>
    <row r="146" spans="1:22" ht="16" x14ac:dyDescent="0.15">
      <c r="A146" s="533" t="s">
        <v>79</v>
      </c>
      <c r="B146" s="585" t="s">
        <v>283</v>
      </c>
      <c r="C146" s="516" t="s">
        <v>297</v>
      </c>
      <c r="D146" s="523"/>
      <c r="E146" s="523"/>
      <c r="F146" s="523"/>
      <c r="G146" s="523"/>
      <c r="H146" s="580">
        <v>-50</v>
      </c>
      <c r="I146" s="535">
        <v>200</v>
      </c>
      <c r="J146" s="583">
        <f>I146*H146</f>
        <v>-10000</v>
      </c>
      <c r="K146" s="584" t="s">
        <v>855</v>
      </c>
      <c r="M146" s="406"/>
      <c r="N146" s="407"/>
      <c r="O146" s="408"/>
      <c r="P146" s="416"/>
      <c r="Q146" s="408">
        <v>1</v>
      </c>
      <c r="R146" s="406"/>
      <c r="S146" s="409">
        <f t="shared" si="54"/>
        <v>1</v>
      </c>
      <c r="T146" s="415">
        <f t="shared" si="53"/>
        <v>-10000</v>
      </c>
    </row>
    <row r="147" spans="1:22" x14ac:dyDescent="0.15">
      <c r="A147" s="533" t="s">
        <v>79</v>
      </c>
      <c r="B147" s="585" t="s">
        <v>854</v>
      </c>
      <c r="C147" s="516" t="s">
        <v>297</v>
      </c>
      <c r="D147" s="523"/>
      <c r="E147" s="523"/>
      <c r="F147" s="523"/>
      <c r="G147" s="523"/>
      <c r="H147" s="580">
        <f>9.54+0.4+12*0.3*0.3+0.4*3.35</f>
        <v>12.36</v>
      </c>
      <c r="I147" s="535">
        <v>200</v>
      </c>
      <c r="J147" s="583">
        <f>I147*H147</f>
        <v>2472</v>
      </c>
      <c r="K147" s="532"/>
      <c r="M147" s="406"/>
      <c r="N147" s="407"/>
      <c r="O147" s="408"/>
      <c r="P147" s="416"/>
      <c r="Q147" s="408">
        <v>1</v>
      </c>
      <c r="R147" s="406"/>
      <c r="S147" s="409">
        <f t="shared" si="54"/>
        <v>1</v>
      </c>
      <c r="T147" s="415">
        <f t="shared" si="53"/>
        <v>2472</v>
      </c>
    </row>
    <row r="148" spans="1:22" ht="6.75" customHeight="1" x14ac:dyDescent="0.15">
      <c r="K148" s="532"/>
      <c r="M148" s="406"/>
      <c r="N148" s="414"/>
      <c r="O148" s="408"/>
      <c r="P148" s="416"/>
      <c r="Q148" s="408"/>
      <c r="R148" s="406"/>
      <c r="S148" s="409"/>
      <c r="T148" s="415"/>
    </row>
    <row r="149" spans="1:22" ht="16" x14ac:dyDescent="0.15">
      <c r="A149" s="533" t="s">
        <v>786</v>
      </c>
      <c r="B149" s="548" t="s">
        <v>787</v>
      </c>
      <c r="C149" s="516" t="s">
        <v>305</v>
      </c>
      <c r="D149" s="523">
        <v>80</v>
      </c>
      <c r="E149" s="523">
        <v>6</v>
      </c>
      <c r="F149" s="523">
        <v>0.9</v>
      </c>
      <c r="G149" s="523">
        <v>1</v>
      </c>
      <c r="H149" s="520">
        <f>+D149*E149*F149*G149</f>
        <v>432</v>
      </c>
      <c r="I149" s="535">
        <v>4.8499999999999996</v>
      </c>
      <c r="J149" s="536">
        <f>I149*H149</f>
        <v>2095.1999999999998</v>
      </c>
      <c r="K149" s="532"/>
      <c r="M149" s="406"/>
      <c r="N149" s="407"/>
      <c r="O149" s="408"/>
      <c r="P149" s="416"/>
      <c r="Q149" s="408">
        <v>1</v>
      </c>
      <c r="R149" s="406"/>
      <c r="S149" s="409">
        <f t="shared" ref="S149" si="55">SUM(M149:R149)</f>
        <v>1</v>
      </c>
      <c r="T149" s="415">
        <f t="shared" ref="T149" si="56">S149*J149</f>
        <v>2095.1999999999998</v>
      </c>
    </row>
    <row r="150" spans="1:22" ht="6.75" customHeight="1" x14ac:dyDescent="0.15">
      <c r="K150" s="532"/>
      <c r="M150" s="406"/>
      <c r="N150" s="414"/>
      <c r="O150" s="408"/>
      <c r="P150" s="416"/>
      <c r="Q150" s="408"/>
      <c r="R150" s="406"/>
      <c r="S150" s="409"/>
      <c r="T150" s="415"/>
    </row>
    <row r="151" spans="1:22" x14ac:dyDescent="0.15">
      <c r="A151" s="533" t="s">
        <v>336</v>
      </c>
      <c r="B151" s="534" t="s">
        <v>788</v>
      </c>
      <c r="C151" s="516" t="s">
        <v>307</v>
      </c>
      <c r="D151" s="523">
        <v>7</v>
      </c>
      <c r="E151" s="523">
        <v>1.94</v>
      </c>
      <c r="F151" s="523">
        <v>1</v>
      </c>
      <c r="G151" s="523">
        <v>1</v>
      </c>
      <c r="H151" s="520">
        <f>+D151*E151*F151*G151</f>
        <v>13.58</v>
      </c>
      <c r="I151" s="535">
        <v>24.99</v>
      </c>
      <c r="J151" s="536">
        <f>I151*H151</f>
        <v>339.36</v>
      </c>
      <c r="K151" s="532"/>
      <c r="M151" s="406"/>
      <c r="N151" s="407"/>
      <c r="O151" s="408"/>
      <c r="P151" s="416"/>
      <c r="Q151" s="408">
        <v>1</v>
      </c>
      <c r="R151" s="406"/>
      <c r="S151" s="409">
        <f t="shared" ref="S151" si="57">SUM(M151:R151)</f>
        <v>1</v>
      </c>
      <c r="T151" s="415">
        <f t="shared" ref="T151" si="58">S151*J151</f>
        <v>339.36</v>
      </c>
    </row>
    <row r="152" spans="1:22" ht="6.75" customHeight="1" x14ac:dyDescent="0.15">
      <c r="K152" s="532"/>
      <c r="M152" s="406"/>
      <c r="N152" s="414"/>
      <c r="O152" s="408"/>
      <c r="P152" s="416"/>
      <c r="Q152" s="408"/>
      <c r="R152" s="406"/>
      <c r="S152" s="409"/>
      <c r="T152" s="415"/>
    </row>
    <row r="153" spans="1:22" x14ac:dyDescent="0.15">
      <c r="A153" s="533" t="s">
        <v>336</v>
      </c>
      <c r="B153" s="534" t="s">
        <v>789</v>
      </c>
      <c r="C153" s="516" t="s">
        <v>385</v>
      </c>
      <c r="D153" s="523"/>
      <c r="E153" s="523"/>
      <c r="F153" s="523"/>
      <c r="G153" s="523"/>
      <c r="H153" s="520">
        <v>1</v>
      </c>
      <c r="I153" s="535">
        <v>110</v>
      </c>
      <c r="J153" s="536">
        <f>I153*H153</f>
        <v>110</v>
      </c>
      <c r="K153" s="532"/>
      <c r="M153" s="406"/>
      <c r="N153" s="407"/>
      <c r="O153" s="408"/>
      <c r="P153" s="416"/>
      <c r="Q153" s="408">
        <v>1</v>
      </c>
      <c r="R153" s="406"/>
      <c r="S153" s="409">
        <f t="shared" ref="S153" si="59">SUM(M153:R153)</f>
        <v>1</v>
      </c>
      <c r="T153" s="415">
        <f t="shared" ref="T153" si="60">S153*J153</f>
        <v>110</v>
      </c>
    </row>
    <row r="154" spans="1:22" ht="6.75" customHeight="1" x14ac:dyDescent="0.15">
      <c r="K154" s="532"/>
      <c r="M154" s="406"/>
      <c r="N154" s="414"/>
      <c r="O154" s="408"/>
      <c r="P154" s="416"/>
      <c r="Q154" s="408"/>
      <c r="R154" s="406"/>
      <c r="S154" s="409"/>
      <c r="T154" s="415"/>
    </row>
    <row r="155" spans="1:22" ht="16" x14ac:dyDescent="0.15">
      <c r="A155" s="533" t="s">
        <v>808</v>
      </c>
      <c r="B155" s="534" t="s">
        <v>857</v>
      </c>
      <c r="C155" s="516" t="s">
        <v>844</v>
      </c>
      <c r="D155" s="523"/>
      <c r="E155" s="523"/>
      <c r="F155" s="523"/>
      <c r="G155" s="523"/>
      <c r="H155" s="520">
        <v>4</v>
      </c>
      <c r="I155" s="535">
        <v>1640.2</v>
      </c>
      <c r="J155" s="536">
        <f>I155*H155</f>
        <v>6560.8</v>
      </c>
      <c r="K155" s="584" t="s">
        <v>850</v>
      </c>
      <c r="M155" s="406"/>
      <c r="N155" s="407"/>
      <c r="O155" s="408"/>
      <c r="P155" s="416"/>
      <c r="Q155" s="513">
        <v>0</v>
      </c>
      <c r="R155" s="406">
        <v>0</v>
      </c>
      <c r="S155" s="409">
        <f t="shared" ref="S155" si="61">SUM(M155:R155)</f>
        <v>0</v>
      </c>
      <c r="T155" s="415">
        <f t="shared" ref="T155" si="62">S155*J155</f>
        <v>0</v>
      </c>
      <c r="V155" s="521">
        <f>+J155</f>
        <v>6560.8</v>
      </c>
    </row>
    <row r="156" spans="1:22" ht="6.75" customHeight="1" x14ac:dyDescent="0.15">
      <c r="K156" s="532"/>
      <c r="M156" s="406"/>
      <c r="N156" s="414"/>
      <c r="O156" s="408"/>
      <c r="P156" s="416"/>
      <c r="Q156" s="408"/>
      <c r="R156" s="406"/>
      <c r="S156" s="409"/>
      <c r="T156" s="415"/>
    </row>
    <row r="157" spans="1:22" x14ac:dyDescent="0.15">
      <c r="A157" s="533" t="s">
        <v>809</v>
      </c>
      <c r="B157" s="534" t="s">
        <v>810</v>
      </c>
      <c r="C157" s="516" t="s">
        <v>385</v>
      </c>
      <c r="D157" s="523"/>
      <c r="E157" s="523"/>
      <c r="F157" s="523"/>
      <c r="G157" s="523"/>
      <c r="H157" s="520">
        <v>1</v>
      </c>
      <c r="I157" s="578">
        <v>727.5</v>
      </c>
      <c r="J157" s="536">
        <f>I157*H157</f>
        <v>727.5</v>
      </c>
      <c r="K157" s="532"/>
      <c r="M157" s="406"/>
      <c r="N157" s="407"/>
      <c r="O157" s="408"/>
      <c r="P157" s="416"/>
      <c r="Q157" s="544">
        <v>1</v>
      </c>
      <c r="R157" s="406"/>
      <c r="S157" s="409">
        <f t="shared" ref="S157" si="63">SUM(M157:R157)</f>
        <v>1</v>
      </c>
      <c r="T157" s="415">
        <f t="shared" ref="T157" si="64">S157*J157</f>
        <v>727.5</v>
      </c>
    </row>
    <row r="158" spans="1:22" x14ac:dyDescent="0.15">
      <c r="A158" s="533"/>
      <c r="C158" s="516"/>
      <c r="D158" s="523"/>
      <c r="E158" s="523"/>
      <c r="F158" s="523"/>
      <c r="G158" s="523"/>
      <c r="I158" s="535"/>
      <c r="J158" s="536"/>
      <c r="K158" s="532"/>
      <c r="M158" s="406"/>
      <c r="N158" s="407"/>
      <c r="O158" s="408"/>
      <c r="P158" s="416"/>
      <c r="Q158" s="408"/>
      <c r="R158" s="406"/>
      <c r="S158" s="409"/>
      <c r="T158" s="415"/>
    </row>
    <row r="159" spans="1:22" x14ac:dyDescent="0.15">
      <c r="A159" s="533"/>
      <c r="C159" s="516"/>
      <c r="D159" s="523"/>
      <c r="E159" s="523"/>
      <c r="F159" s="523"/>
      <c r="G159" s="523"/>
      <c r="I159" s="535"/>
      <c r="J159" s="536"/>
      <c r="K159" s="532"/>
      <c r="M159" s="406"/>
      <c r="N159" s="407"/>
      <c r="O159" s="408"/>
      <c r="P159" s="416"/>
      <c r="Q159" s="408"/>
      <c r="R159" s="406"/>
      <c r="S159" s="409"/>
      <c r="T159" s="415"/>
    </row>
    <row r="160" spans="1:22" x14ac:dyDescent="0.15">
      <c r="A160" s="533"/>
      <c r="C160" s="516"/>
      <c r="D160" s="523"/>
      <c r="E160" s="523"/>
      <c r="F160" s="523"/>
      <c r="G160" s="523"/>
      <c r="I160" s="535"/>
      <c r="J160" s="536"/>
      <c r="K160" s="532"/>
      <c r="M160" s="406"/>
      <c r="N160" s="407"/>
      <c r="O160" s="408"/>
      <c r="P160" s="416"/>
      <c r="Q160" s="408"/>
      <c r="R160" s="406"/>
      <c r="S160" s="409"/>
      <c r="T160" s="415"/>
    </row>
    <row r="161" spans="1:21" x14ac:dyDescent="0.15">
      <c r="A161" s="533"/>
      <c r="C161" s="516"/>
      <c r="D161" s="523"/>
      <c r="E161" s="523"/>
      <c r="F161" s="523"/>
      <c r="G161" s="523"/>
      <c r="I161" s="535"/>
      <c r="J161" s="536"/>
      <c r="K161" s="532"/>
      <c r="M161" s="406"/>
      <c r="N161" s="407"/>
      <c r="O161" s="408"/>
      <c r="P161" s="416"/>
      <c r="Q161" s="408"/>
      <c r="R161" s="406"/>
      <c r="S161" s="409"/>
      <c r="T161" s="415"/>
    </row>
    <row r="162" spans="1:21" x14ac:dyDescent="0.15">
      <c r="A162" s="533"/>
      <c r="C162" s="516"/>
      <c r="D162" s="523"/>
      <c r="E162" s="523"/>
      <c r="F162" s="523"/>
      <c r="G162" s="523"/>
      <c r="I162" s="535"/>
      <c r="J162" s="536"/>
      <c r="K162" s="532"/>
      <c r="M162" s="406"/>
      <c r="N162" s="407"/>
      <c r="O162" s="408"/>
      <c r="P162" s="416"/>
      <c r="Q162" s="408"/>
      <c r="R162" s="406"/>
      <c r="S162" s="409"/>
      <c r="T162" s="415"/>
    </row>
    <row r="163" spans="1:21" ht="6.75" customHeight="1" x14ac:dyDescent="0.15">
      <c r="K163" s="532"/>
      <c r="M163" s="418"/>
      <c r="N163" s="419"/>
      <c r="O163" s="420"/>
      <c r="P163" s="503"/>
      <c r="Q163" s="420"/>
      <c r="R163" s="418"/>
      <c r="S163" s="421"/>
      <c r="T163" s="422"/>
    </row>
    <row r="164" spans="1:21" s="523" customFormat="1" x14ac:dyDescent="0.15">
      <c r="A164" s="516"/>
      <c r="B164" s="549"/>
      <c r="C164" s="550"/>
      <c r="H164" s="551"/>
      <c r="I164" s="535"/>
      <c r="J164" s="536"/>
      <c r="K164" s="522"/>
      <c r="L164" s="517"/>
      <c r="M164" s="362"/>
      <c r="N164" s="354"/>
      <c r="O164" s="363"/>
      <c r="P164" s="354"/>
      <c r="Q164" s="363"/>
      <c r="R164" s="362"/>
    </row>
    <row r="165" spans="1:21" s="523" customFormat="1" ht="6.75" customHeight="1" thickBot="1" x14ac:dyDescent="0.2">
      <c r="A165" s="516"/>
      <c r="B165" s="517"/>
      <c r="C165" s="518"/>
      <c r="H165" s="520"/>
      <c r="I165" s="521"/>
      <c r="J165" s="518"/>
      <c r="K165" s="532"/>
      <c r="L165" s="517"/>
      <c r="N165" s="517"/>
      <c r="O165" s="517"/>
      <c r="P165" s="524"/>
      <c r="Q165" s="525"/>
      <c r="R165" s="517"/>
      <c r="S165" s="517"/>
    </row>
    <row r="166" spans="1:21" s="523" customFormat="1" ht="16" thickBot="1" x14ac:dyDescent="0.2">
      <c r="A166" s="516"/>
      <c r="B166" s="517"/>
      <c r="C166" s="518"/>
      <c r="D166" s="519"/>
      <c r="E166" s="519"/>
      <c r="F166" s="519"/>
      <c r="G166" s="613" t="s">
        <v>569</v>
      </c>
      <c r="H166" s="614"/>
      <c r="I166" s="615"/>
      <c r="J166" s="552">
        <f>SUM(J3:J164)</f>
        <v>-4577.3500000000004</v>
      </c>
      <c r="K166" s="553"/>
      <c r="L166" s="517"/>
      <c r="P166" s="554"/>
      <c r="Q166" s="555"/>
      <c r="S166" s="368"/>
      <c r="T166" s="427">
        <f>SUM(T1:T165)</f>
        <v>-15196.27</v>
      </c>
    </row>
    <row r="167" spans="1:21" ht="16" thickBot="1" x14ac:dyDescent="0.2">
      <c r="G167" s="616" t="s">
        <v>570</v>
      </c>
      <c r="H167" s="617"/>
      <c r="I167" s="618"/>
      <c r="J167" s="552">
        <v>0</v>
      </c>
      <c r="M167" s="517"/>
    </row>
    <row r="168" spans="1:21" ht="16" thickBot="1" x14ac:dyDescent="0.2">
      <c r="G168" s="619" t="s">
        <v>569</v>
      </c>
      <c r="H168" s="620"/>
      <c r="I168" s="621"/>
      <c r="J168" s="552">
        <f>J167+J166</f>
        <v>-4577.3500000000004</v>
      </c>
      <c r="M168" s="517"/>
    </row>
    <row r="169" spans="1:21" s="516" customFormat="1" ht="6.75" customHeight="1" x14ac:dyDescent="0.15">
      <c r="B169" s="517"/>
      <c r="C169" s="518"/>
      <c r="D169" s="519"/>
      <c r="E169" s="519"/>
      <c r="F169" s="519"/>
      <c r="G169" s="519"/>
      <c r="H169" s="520"/>
      <c r="I169" s="521"/>
      <c r="J169" s="518"/>
      <c r="K169" s="522"/>
      <c r="L169" s="517"/>
      <c r="M169" s="523"/>
      <c r="N169" s="517"/>
      <c r="O169" s="517"/>
      <c r="P169" s="524"/>
      <c r="Q169" s="525"/>
      <c r="R169" s="517"/>
      <c r="S169" s="517"/>
      <c r="T169" s="517"/>
      <c r="U169" s="517"/>
    </row>
    <row r="174" spans="1:21" s="516" customFormat="1" ht="6.75" customHeight="1" x14ac:dyDescent="0.15">
      <c r="B174" s="517"/>
      <c r="C174" s="518"/>
      <c r="D174" s="519"/>
      <c r="E174" s="519"/>
      <c r="F174" s="519"/>
      <c r="G174" s="519"/>
      <c r="H174" s="520"/>
      <c r="I174" s="521"/>
      <c r="J174" s="518"/>
      <c r="K174" s="522"/>
      <c r="L174" s="517"/>
      <c r="M174" s="523"/>
      <c r="N174" s="517"/>
      <c r="O174" s="517"/>
      <c r="P174" s="524"/>
      <c r="Q174" s="525"/>
      <c r="R174" s="517"/>
      <c r="S174" s="517"/>
      <c r="T174" s="517"/>
      <c r="U174" s="517"/>
    </row>
  </sheetData>
  <mergeCells count="3">
    <mergeCell ref="G166:I166"/>
    <mergeCell ref="G167:I167"/>
    <mergeCell ref="G168:I1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7C561-5585-43F3-9B43-95BF9E79BDF6}">
  <dimension ref="A1:O223"/>
  <sheetViews>
    <sheetView zoomScale="130" zoomScaleNormal="130" workbookViewId="0">
      <selection activeCell="B49" sqref="B49:B50"/>
    </sheetView>
  </sheetViews>
  <sheetFormatPr baseColWidth="10" defaultRowHeight="13" x14ac:dyDescent="0.15"/>
  <cols>
    <col min="2" max="2" width="52.5" bestFit="1" customWidth="1"/>
    <col min="3" max="3" width="5.1640625" customWidth="1"/>
    <col min="11" max="11" width="11.5" style="148"/>
    <col min="12" max="12" width="11.5" style="155"/>
    <col min="13" max="13" width="4.5" customWidth="1"/>
    <col min="14" max="14" width="4.5" style="166" customWidth="1"/>
    <col min="15" max="15" width="11.5" style="147"/>
  </cols>
  <sheetData>
    <row r="1" spans="1:14" s="163" customFormat="1" x14ac:dyDescent="0.15">
      <c r="A1" s="156" t="e">
        <f>+' - état 30 - Février  06  '!#REF!</f>
        <v>#REF!</v>
      </c>
      <c r="B1" s="156" t="e">
        <f>+' - état 30 - Février  06  '!#REF!</f>
        <v>#REF!</v>
      </c>
      <c r="C1" s="66">
        <v>2</v>
      </c>
      <c r="D1" s="157" t="s">
        <v>300</v>
      </c>
      <c r="E1" s="158"/>
      <c r="F1" s="159"/>
      <c r="G1" s="159"/>
      <c r="H1" s="159"/>
      <c r="I1" s="160"/>
      <c r="J1" s="160">
        <f>SUM(I2:I13)</f>
        <v>1255.75</v>
      </c>
      <c r="K1" s="161"/>
      <c r="L1" s="162">
        <f>SUM(K2:K13)</f>
        <v>0</v>
      </c>
      <c r="M1" s="147"/>
      <c r="N1" s="167" t="s">
        <v>475</v>
      </c>
    </row>
    <row r="2" spans="1:14" s="23" customFormat="1" x14ac:dyDescent="0.15">
      <c r="A2" s="63"/>
      <c r="B2" s="65" t="e">
        <f>+' - état 30 - Février  06  '!#REF!</f>
        <v>#REF!</v>
      </c>
      <c r="C2" s="66"/>
      <c r="D2" s="67"/>
      <c r="E2" s="68">
        <v>1</v>
      </c>
      <c r="F2" s="67">
        <v>9.3000000000000007</v>
      </c>
      <c r="G2" s="67">
        <v>1</v>
      </c>
      <c r="H2" s="67">
        <v>4.6500000000000004</v>
      </c>
      <c r="I2" s="67">
        <f t="shared" ref="I2:I13" si="0">SUM(E2*F2*G2*H2)</f>
        <v>43.25</v>
      </c>
      <c r="J2"/>
      <c r="K2" s="148"/>
      <c r="L2" s="155"/>
      <c r="M2"/>
      <c r="N2" s="166"/>
    </row>
    <row r="3" spans="1:14" s="23" customFormat="1" x14ac:dyDescent="0.15">
      <c r="A3" s="63"/>
      <c r="B3" s="65" t="e">
        <f>+' - état 30 - Février  06  '!#REF!</f>
        <v>#REF!</v>
      </c>
      <c r="C3" s="66"/>
      <c r="D3" s="67"/>
      <c r="E3" s="68">
        <v>1</v>
      </c>
      <c r="F3" s="67">
        <v>6</v>
      </c>
      <c r="G3" s="67">
        <v>1</v>
      </c>
      <c r="H3" s="67">
        <v>4.6500000000000004</v>
      </c>
      <c r="I3" s="67">
        <f t="shared" si="0"/>
        <v>27.9</v>
      </c>
      <c r="J3"/>
      <c r="K3" s="148"/>
      <c r="L3" s="155"/>
      <c r="M3"/>
      <c r="N3" s="166"/>
    </row>
    <row r="4" spans="1:14" s="23" customFormat="1" x14ac:dyDescent="0.15">
      <c r="A4" s="63"/>
      <c r="B4" s="65" t="e">
        <f>+' - état 30 - Février  06  '!#REF!</f>
        <v>#REF!</v>
      </c>
      <c r="C4" s="66"/>
      <c r="D4" s="67"/>
      <c r="E4" s="68">
        <v>1</v>
      </c>
      <c r="F4" s="67">
        <v>6.84</v>
      </c>
      <c r="G4" s="67">
        <v>0.5</v>
      </c>
      <c r="H4" s="67">
        <v>4.67</v>
      </c>
      <c r="I4" s="67">
        <f t="shared" si="0"/>
        <v>15.97</v>
      </c>
      <c r="J4"/>
      <c r="K4" s="148"/>
      <c r="L4" s="155"/>
      <c r="M4"/>
      <c r="N4" s="166"/>
    </row>
    <row r="5" spans="1:14" s="23" customFormat="1" x14ac:dyDescent="0.15">
      <c r="A5" s="63"/>
      <c r="B5" s="65" t="e">
        <f>+' - état 30 - Février  06  '!#REF!</f>
        <v>#REF!</v>
      </c>
      <c r="C5" s="66"/>
      <c r="D5" s="67"/>
      <c r="E5" s="68">
        <v>1</v>
      </c>
      <c r="F5" s="67">
        <v>24.6</v>
      </c>
      <c r="G5" s="67">
        <v>1</v>
      </c>
      <c r="H5" s="67">
        <v>4.5999999999999996</v>
      </c>
      <c r="I5" s="67">
        <f t="shared" si="0"/>
        <v>113.16</v>
      </c>
      <c r="J5"/>
      <c r="K5" s="148"/>
      <c r="L5" s="155"/>
      <c r="M5"/>
      <c r="N5" s="166"/>
    </row>
    <row r="6" spans="1:14" s="23" customFormat="1" x14ac:dyDescent="0.15">
      <c r="A6" s="63"/>
      <c r="B6" s="65" t="e">
        <f>+' - état 30 - Février  06  '!#REF!</f>
        <v>#REF!</v>
      </c>
      <c r="C6" s="66"/>
      <c r="D6" s="67"/>
      <c r="E6" s="68">
        <v>1</v>
      </c>
      <c r="F6" s="67">
        <v>21.23</v>
      </c>
      <c r="G6" s="67">
        <v>1</v>
      </c>
      <c r="H6" s="67">
        <v>4.5999999999999996</v>
      </c>
      <c r="I6" s="67">
        <f t="shared" si="0"/>
        <v>97.66</v>
      </c>
      <c r="J6"/>
      <c r="K6" s="148"/>
      <c r="L6" s="155"/>
      <c r="M6"/>
      <c r="N6" s="166"/>
    </row>
    <row r="7" spans="1:14" s="23" customFormat="1" x14ac:dyDescent="0.15">
      <c r="A7" s="63"/>
      <c r="B7" s="65" t="e">
        <f>+' - état 30 - Février  06  '!#REF!</f>
        <v>#REF!</v>
      </c>
      <c r="C7" s="66">
        <v>2</v>
      </c>
      <c r="D7" s="67" t="s">
        <v>297</v>
      </c>
      <c r="E7" s="68">
        <v>2</v>
      </c>
      <c r="F7" s="67">
        <v>22.4</v>
      </c>
      <c r="G7" s="67">
        <v>1</v>
      </c>
      <c r="H7" s="67">
        <v>7.18</v>
      </c>
      <c r="I7" s="67">
        <f t="shared" si="0"/>
        <v>321.66000000000003</v>
      </c>
      <c r="J7"/>
      <c r="K7" s="148"/>
      <c r="L7" s="155"/>
      <c r="M7"/>
      <c r="N7" s="166"/>
    </row>
    <row r="8" spans="1:14" s="23" customFormat="1" x14ac:dyDescent="0.15">
      <c r="A8" s="63"/>
      <c r="B8" s="65" t="e">
        <f>+' - état 30 - Février  06  '!#REF!</f>
        <v>#REF!</v>
      </c>
      <c r="C8" s="66">
        <v>2</v>
      </c>
      <c r="D8" s="67" t="s">
        <v>297</v>
      </c>
      <c r="E8" s="68">
        <v>1</v>
      </c>
      <c r="F8" s="67">
        <v>13</v>
      </c>
      <c r="G8" s="67">
        <v>1</v>
      </c>
      <c r="H8" s="67">
        <v>4.62</v>
      </c>
      <c r="I8" s="67">
        <f t="shared" si="0"/>
        <v>60.06</v>
      </c>
      <c r="J8"/>
      <c r="K8" s="148"/>
      <c r="L8" s="155"/>
      <c r="M8"/>
      <c r="N8" s="166"/>
    </row>
    <row r="9" spans="1:14" s="23" customFormat="1" x14ac:dyDescent="0.15">
      <c r="A9" s="63"/>
      <c r="B9" s="65" t="e">
        <f>+' - état 30 - Février  06  '!#REF!</f>
        <v>#REF!</v>
      </c>
      <c r="C9" s="66">
        <v>2</v>
      </c>
      <c r="D9" s="67" t="s">
        <v>297</v>
      </c>
      <c r="E9" s="68">
        <v>1</v>
      </c>
      <c r="F9" s="67">
        <v>6.85</v>
      </c>
      <c r="G9" s="67">
        <v>1</v>
      </c>
      <c r="H9" s="67">
        <v>8.9700000000000006</v>
      </c>
      <c r="I9" s="67">
        <f t="shared" si="0"/>
        <v>61.44</v>
      </c>
      <c r="J9"/>
      <c r="K9" s="148"/>
      <c r="L9" s="155"/>
      <c r="M9"/>
      <c r="N9" s="166"/>
    </row>
    <row r="10" spans="1:14" s="23" customFormat="1" x14ac:dyDescent="0.15">
      <c r="A10" s="63"/>
      <c r="B10" s="65" t="e">
        <f>+' - état 30 - Février  06  '!#REF!</f>
        <v>#REF!</v>
      </c>
      <c r="C10" s="66">
        <v>2</v>
      </c>
      <c r="D10" s="67" t="s">
        <v>297</v>
      </c>
      <c r="E10" s="68">
        <v>1</v>
      </c>
      <c r="F10" s="67">
        <v>6.18</v>
      </c>
      <c r="G10" s="67">
        <v>1</v>
      </c>
      <c r="H10" s="67">
        <v>4.62</v>
      </c>
      <c r="I10" s="67">
        <f t="shared" si="0"/>
        <v>28.55</v>
      </c>
      <c r="J10"/>
      <c r="K10" s="148"/>
      <c r="L10" s="155"/>
      <c r="M10"/>
      <c r="N10" s="166"/>
    </row>
    <row r="11" spans="1:14" s="23" customFormat="1" x14ac:dyDescent="0.15">
      <c r="A11" s="63"/>
      <c r="B11" s="65" t="e">
        <f>+' - état 30 - Février  06  '!#REF!</f>
        <v>#REF!</v>
      </c>
      <c r="C11" s="66">
        <v>2</v>
      </c>
      <c r="D11" s="67" t="s">
        <v>297</v>
      </c>
      <c r="E11" s="68">
        <v>1</v>
      </c>
      <c r="F11" s="67">
        <v>14.4</v>
      </c>
      <c r="G11" s="67">
        <v>0.5</v>
      </c>
      <c r="H11" s="67">
        <v>8.65</v>
      </c>
      <c r="I11" s="67">
        <f t="shared" si="0"/>
        <v>62.28</v>
      </c>
      <c r="J11"/>
      <c r="K11" s="148"/>
      <c r="L11" s="155"/>
      <c r="M11"/>
      <c r="N11" s="166"/>
    </row>
    <row r="12" spans="1:14" s="23" customFormat="1" x14ac:dyDescent="0.15">
      <c r="A12" s="63"/>
      <c r="B12" s="65" t="e">
        <f>+' - état 30 - Février  06  '!#REF!</f>
        <v>#REF!</v>
      </c>
      <c r="C12" s="66">
        <v>2</v>
      </c>
      <c r="D12" s="67" t="s">
        <v>297</v>
      </c>
      <c r="E12" s="68">
        <v>1</v>
      </c>
      <c r="F12" s="67">
        <v>23.44</v>
      </c>
      <c r="G12" s="67">
        <v>1</v>
      </c>
      <c r="H12" s="67">
        <v>8.66</v>
      </c>
      <c r="I12" s="67">
        <f t="shared" si="0"/>
        <v>202.99</v>
      </c>
      <c r="J12"/>
      <c r="K12" s="148"/>
      <c r="L12" s="155"/>
      <c r="M12"/>
      <c r="N12" s="166"/>
    </row>
    <row r="13" spans="1:14" s="23" customFormat="1" x14ac:dyDescent="0.15">
      <c r="A13" s="63"/>
      <c r="B13" s="65" t="e">
        <f>+' - état 30 - Février  06  '!#REF!</f>
        <v>#REF!</v>
      </c>
      <c r="C13" s="66">
        <v>2</v>
      </c>
      <c r="D13" s="67" t="s">
        <v>297</v>
      </c>
      <c r="E13" s="68">
        <v>1</v>
      </c>
      <c r="F13" s="67">
        <v>25.5</v>
      </c>
      <c r="G13" s="67">
        <v>1</v>
      </c>
      <c r="H13" s="67">
        <v>8.66</v>
      </c>
      <c r="I13" s="67">
        <f t="shared" si="0"/>
        <v>220.83</v>
      </c>
      <c r="J13"/>
      <c r="K13" s="148"/>
      <c r="L13" s="155"/>
      <c r="M13"/>
      <c r="N13" s="166"/>
    </row>
    <row r="17" spans="1:14" s="163" customFormat="1" x14ac:dyDescent="0.15">
      <c r="A17" s="156" t="e">
        <f>+' - état 30 - Février  06  '!#REF!</f>
        <v>#REF!</v>
      </c>
      <c r="B17" s="156" t="e">
        <f>+' - état 30 - Février  06  '!#REF!</f>
        <v>#REF!</v>
      </c>
      <c r="C17" s="66"/>
      <c r="D17" s="157" t="s">
        <v>466</v>
      </c>
      <c r="E17" s="158"/>
      <c r="F17" s="159"/>
      <c r="G17" s="159"/>
      <c r="H17" s="159"/>
      <c r="I17" s="160"/>
      <c r="J17" s="160">
        <f>SUM(I18:I31)</f>
        <v>1290.5</v>
      </c>
      <c r="K17" s="161"/>
      <c r="L17" s="162">
        <f>SUM(K18:K31)</f>
        <v>1292.92</v>
      </c>
      <c r="M17" s="147"/>
      <c r="N17" s="165"/>
    </row>
    <row r="18" spans="1:14" s="23" customFormat="1" x14ac:dyDescent="0.15">
      <c r="A18" s="63"/>
      <c r="B18" s="65" t="e">
        <f>+' - état 30 - Février  06  '!#REF!</f>
        <v>#REF!</v>
      </c>
      <c r="C18" s="66"/>
      <c r="D18" s="67"/>
      <c r="E18" s="68">
        <v>1</v>
      </c>
      <c r="F18" s="67">
        <v>9.3000000000000007</v>
      </c>
      <c r="G18" s="67">
        <v>1</v>
      </c>
      <c r="H18" s="67">
        <v>4.6500000000000004</v>
      </c>
      <c r="I18" s="67">
        <f>SUM(E18*F18*G18*H18)</f>
        <v>43.25</v>
      </c>
      <c r="J18"/>
      <c r="K18" s="150">
        <f>+(12.525+6)*4.62/2</f>
        <v>42.79</v>
      </c>
      <c r="L18" s="155"/>
      <c r="M18"/>
      <c r="N18" s="166"/>
    </row>
    <row r="19" spans="1:14" s="23" customFormat="1" x14ac:dyDescent="0.15">
      <c r="A19" s="63"/>
      <c r="B19" s="65" t="e">
        <f>+' - état 30 - Février  06  '!#REF!</f>
        <v>#REF!</v>
      </c>
      <c r="C19" s="66"/>
      <c r="D19" s="67"/>
      <c r="E19" s="68">
        <v>1</v>
      </c>
      <c r="F19" s="67">
        <v>6</v>
      </c>
      <c r="G19" s="67">
        <v>1</v>
      </c>
      <c r="H19" s="67">
        <v>4.6500000000000004</v>
      </c>
      <c r="I19" s="67">
        <f t="shared" ref="I19:I31" si="1">SUM(E19*F19*G19*H19)</f>
        <v>27.9</v>
      </c>
      <c r="J19"/>
      <c r="K19" s="151">
        <f>+(6.18+6)*4.62/2</f>
        <v>28.14</v>
      </c>
      <c r="L19" s="155"/>
      <c r="M19"/>
      <c r="N19" s="166"/>
    </row>
    <row r="20" spans="1:14" s="23" customFormat="1" x14ac:dyDescent="0.15">
      <c r="A20" s="63"/>
      <c r="B20" s="65" t="e">
        <f>+' - état 30 - Février  06  '!#REF!</f>
        <v>#REF!</v>
      </c>
      <c r="C20" s="66"/>
      <c r="D20" s="67"/>
      <c r="E20" s="68">
        <v>1</v>
      </c>
      <c r="F20" s="67">
        <v>6.84</v>
      </c>
      <c r="G20" s="67">
        <v>0.5</v>
      </c>
      <c r="H20" s="67">
        <v>4.67</v>
      </c>
      <c r="I20" s="67">
        <f t="shared" si="1"/>
        <v>15.97</v>
      </c>
      <c r="J20"/>
      <c r="K20" s="152">
        <f>6.75*4.74/2</f>
        <v>16</v>
      </c>
      <c r="L20" s="155"/>
      <c r="M20"/>
      <c r="N20" s="166"/>
    </row>
    <row r="21" spans="1:14" s="23" customFormat="1" x14ac:dyDescent="0.15">
      <c r="A21" s="63"/>
      <c r="B21" s="65" t="e">
        <f>+' - état 30 - Février  06  '!#REF!</f>
        <v>#REF!</v>
      </c>
      <c r="C21" s="66"/>
      <c r="D21" s="67"/>
      <c r="E21" s="68">
        <v>1</v>
      </c>
      <c r="F21" s="67">
        <v>24.6</v>
      </c>
      <c r="G21" s="67">
        <v>1</v>
      </c>
      <c r="H21" s="67">
        <v>4.5999999999999996</v>
      </c>
      <c r="I21" s="67">
        <f t="shared" si="1"/>
        <v>113.16</v>
      </c>
      <c r="J21"/>
      <c r="K21" s="153">
        <f>+((20.064+6.244)+22.94)*4.6/2</f>
        <v>113.27</v>
      </c>
      <c r="L21" s="155"/>
      <c r="M21"/>
      <c r="N21" s="166"/>
    </row>
    <row r="22" spans="1:14" s="23" customFormat="1" x14ac:dyDescent="0.15">
      <c r="A22" s="63"/>
      <c r="B22" s="65" t="e">
        <f>+' - état 30 - Février  06  '!#REF!</f>
        <v>#REF!</v>
      </c>
      <c r="C22" s="66"/>
      <c r="D22" s="67"/>
      <c r="E22" s="68">
        <v>1</v>
      </c>
      <c r="F22" s="67">
        <v>21.23</v>
      </c>
      <c r="G22" s="67">
        <v>1</v>
      </c>
      <c r="H22" s="67">
        <v>4.5999999999999996</v>
      </c>
      <c r="I22" s="67">
        <f t="shared" si="1"/>
        <v>97.66</v>
      </c>
      <c r="J22"/>
      <c r="K22" s="154">
        <f>+(19.536+22.94)*4.6/2</f>
        <v>97.69</v>
      </c>
      <c r="L22" s="155"/>
      <c r="M22"/>
      <c r="N22" s="166"/>
    </row>
    <row r="23" spans="1:14" s="23" customFormat="1" x14ac:dyDescent="0.15">
      <c r="A23" s="63"/>
      <c r="B23" s="65" t="e">
        <f>+' - état 30 - Février  06  '!#REF!</f>
        <v>#REF!</v>
      </c>
      <c r="C23" s="66"/>
      <c r="D23" s="67"/>
      <c r="E23" s="68">
        <v>2</v>
      </c>
      <c r="F23" s="67">
        <v>22.4</v>
      </c>
      <c r="G23" s="67">
        <v>1</v>
      </c>
      <c r="H23" s="67">
        <v>7.18</v>
      </c>
      <c r="I23" s="67">
        <f t="shared" si="1"/>
        <v>321.66000000000003</v>
      </c>
      <c r="J23"/>
      <c r="K23" s="149">
        <f>22.416*7.13+22.384*7.29</f>
        <v>323.01</v>
      </c>
      <c r="L23" s="155"/>
      <c r="M23"/>
      <c r="N23" s="166"/>
    </row>
    <row r="24" spans="1:14" s="23" customFormat="1" x14ac:dyDescent="0.15">
      <c r="A24" s="63"/>
      <c r="B24" s="65" t="e">
        <f>+' - état 30 - Février  06  '!#REF!</f>
        <v>#REF!</v>
      </c>
      <c r="C24" s="66"/>
      <c r="D24" s="67"/>
      <c r="E24" s="68">
        <v>1</v>
      </c>
      <c r="F24" s="67">
        <v>13</v>
      </c>
      <c r="G24" s="67">
        <v>1</v>
      </c>
      <c r="H24" s="67">
        <v>4.62</v>
      </c>
      <c r="I24" s="67">
        <f t="shared" si="1"/>
        <v>60.06</v>
      </c>
      <c r="J24"/>
      <c r="K24" s="150">
        <f>+(11.158+15.01)*4.6/2</f>
        <v>60.19</v>
      </c>
      <c r="L24" s="155"/>
      <c r="M24"/>
      <c r="N24" s="166"/>
    </row>
    <row r="25" spans="1:14" s="23" customFormat="1" x14ac:dyDescent="0.15">
      <c r="A25" s="63"/>
      <c r="B25" s="65" t="e">
        <f>+' - état 30 - Février  06  '!#REF!</f>
        <v>#REF!</v>
      </c>
      <c r="C25" s="66"/>
      <c r="D25" s="67"/>
      <c r="E25" s="68">
        <v>1</v>
      </c>
      <c r="F25" s="67">
        <v>6.85</v>
      </c>
      <c r="G25" s="67">
        <v>1</v>
      </c>
      <c r="H25" s="67">
        <v>8.9700000000000006</v>
      </c>
      <c r="I25" s="67">
        <f t="shared" si="1"/>
        <v>61.44</v>
      </c>
      <c r="J25"/>
      <c r="K25" s="151">
        <f>6.883*8.95/2+4.58*4.69</f>
        <v>52.28</v>
      </c>
      <c r="L25" s="155"/>
      <c r="M25"/>
      <c r="N25" s="166"/>
    </row>
    <row r="26" spans="1:14" s="23" customFormat="1" x14ac:dyDescent="0.15">
      <c r="A26" s="63"/>
      <c r="B26" s="65" t="e">
        <f>+' - état 30 - Février  06  '!#REF!</f>
        <v>#REF!</v>
      </c>
      <c r="C26" s="66"/>
      <c r="D26" s="67"/>
      <c r="E26" s="68">
        <v>1</v>
      </c>
      <c r="F26" s="67">
        <v>6.18</v>
      </c>
      <c r="G26" s="67">
        <v>1</v>
      </c>
      <c r="H26" s="67">
        <v>4.62</v>
      </c>
      <c r="I26" s="67">
        <f t="shared" si="1"/>
        <v>28.55</v>
      </c>
      <c r="J26"/>
      <c r="K26" s="148" t="s">
        <v>482</v>
      </c>
      <c r="L26" s="155"/>
      <c r="M26"/>
      <c r="N26" s="166"/>
    </row>
    <row r="27" spans="1:14" s="23" customFormat="1" x14ac:dyDescent="0.15">
      <c r="A27" s="63"/>
      <c r="B27" s="65" t="e">
        <f>+' - état 30 - Février  06  '!#REF!</f>
        <v>#REF!</v>
      </c>
      <c r="C27" s="66"/>
      <c r="D27" s="67"/>
      <c r="E27" s="68">
        <v>1</v>
      </c>
      <c r="F27" s="67">
        <v>14.4</v>
      </c>
      <c r="G27" s="67">
        <v>0.5</v>
      </c>
      <c r="H27" s="67">
        <v>8.65</v>
      </c>
      <c r="I27" s="67">
        <f t="shared" si="1"/>
        <v>62.28</v>
      </c>
      <c r="J27"/>
      <c r="K27" s="153">
        <f>+(18.688+4.69)*8.67/2+3.4*4.58/2</f>
        <v>109.13</v>
      </c>
      <c r="L27" s="155"/>
      <c r="M27"/>
      <c r="N27" s="166"/>
    </row>
    <row r="28" spans="1:14" s="23" customFormat="1" x14ac:dyDescent="0.15">
      <c r="A28" s="63"/>
      <c r="B28" s="65" t="e">
        <f>+' - état 30 - Février  06  '!#REF!</f>
        <v>#REF!</v>
      </c>
      <c r="C28" s="66"/>
      <c r="D28" s="67"/>
      <c r="E28" s="68">
        <v>1</v>
      </c>
      <c r="F28" s="67">
        <v>23.44</v>
      </c>
      <c r="G28" s="67">
        <v>1</v>
      </c>
      <c r="H28" s="67">
        <v>8.66</v>
      </c>
      <c r="I28" s="67">
        <f t="shared" si="1"/>
        <v>202.99</v>
      </c>
      <c r="J28"/>
      <c r="K28" s="154">
        <f>+(33.34-11.8)*8.53+8.53*3.29/2</f>
        <v>197.77</v>
      </c>
      <c r="L28" s="155"/>
      <c r="M28"/>
      <c r="N28" s="166"/>
    </row>
    <row r="29" spans="1:14" s="23" customFormat="1" x14ac:dyDescent="0.15">
      <c r="A29" s="63"/>
      <c r="B29" s="65" t="e">
        <f>+' - état 30 - Février  06  '!#REF!</f>
        <v>#REF!</v>
      </c>
      <c r="C29" s="66"/>
      <c r="D29" s="67"/>
      <c r="E29" s="68">
        <v>1</v>
      </c>
      <c r="F29" s="67">
        <v>25.5</v>
      </c>
      <c r="G29" s="67">
        <v>1</v>
      </c>
      <c r="H29" s="67">
        <v>8.66</v>
      </c>
      <c r="I29" s="67">
        <f t="shared" si="1"/>
        <v>220.83</v>
      </c>
      <c r="J29"/>
      <c r="K29" s="152">
        <f>+(40.935-11.8+33.342-11.8)*8.66/2</f>
        <v>219.43</v>
      </c>
      <c r="L29" s="155"/>
      <c r="M29"/>
      <c r="N29" s="166"/>
    </row>
    <row r="30" spans="1:14" s="23" customFormat="1" x14ac:dyDescent="0.15">
      <c r="A30" s="63"/>
      <c r="B30" s="65" t="e">
        <f>+' - état 30 - Février  06  '!#REF!</f>
        <v>#REF!</v>
      </c>
      <c r="C30" s="66"/>
      <c r="D30" s="67"/>
      <c r="E30" s="68">
        <v>4</v>
      </c>
      <c r="F30" s="67">
        <v>6.4</v>
      </c>
      <c r="G30" s="67">
        <v>1</v>
      </c>
      <c r="H30" s="67">
        <v>1</v>
      </c>
      <c r="I30" s="67">
        <f t="shared" si="1"/>
        <v>25.6</v>
      </c>
      <c r="J30"/>
      <c r="K30" s="149">
        <f>2*3.57*3.59/2+2*3.57*3.57/2</f>
        <v>25.56</v>
      </c>
      <c r="L30" s="155"/>
      <c r="M30"/>
      <c r="N30" s="166"/>
    </row>
    <row r="31" spans="1:14" s="23" customFormat="1" x14ac:dyDescent="0.15">
      <c r="A31" s="63"/>
      <c r="B31" s="65" t="e">
        <f>+' - état 30 - Février  06  '!#REF!</f>
        <v>#REF!</v>
      </c>
      <c r="C31" s="66"/>
      <c r="D31" s="67"/>
      <c r="E31" s="68">
        <v>2</v>
      </c>
      <c r="F31" s="67">
        <v>3.05</v>
      </c>
      <c r="G31" s="67">
        <v>1.5</v>
      </c>
      <c r="H31" s="67">
        <v>1</v>
      </c>
      <c r="I31" s="67">
        <f t="shared" si="1"/>
        <v>9.15</v>
      </c>
      <c r="J31"/>
      <c r="K31" s="149">
        <f>2*3.04*1.26</f>
        <v>7.66</v>
      </c>
      <c r="L31" s="155"/>
      <c r="M31"/>
      <c r="N31" s="166"/>
    </row>
    <row r="32" spans="1:14" s="163" customFormat="1" x14ac:dyDescent="0.15">
      <c r="A32" s="156"/>
      <c r="B32" s="156" t="s">
        <v>465</v>
      </c>
      <c r="C32" s="66"/>
      <c r="D32" s="157" t="s">
        <v>466</v>
      </c>
      <c r="E32" s="158"/>
      <c r="F32" s="159"/>
      <c r="G32" s="159"/>
      <c r="H32" s="159"/>
      <c r="I32" s="160"/>
      <c r="J32" s="160">
        <v>268</v>
      </c>
      <c r="K32" s="161"/>
      <c r="L32" s="164">
        <f>11.8*8.53+11.8*8.66</f>
        <v>202.84</v>
      </c>
      <c r="M32" s="147"/>
      <c r="N32" s="167" t="s">
        <v>475</v>
      </c>
    </row>
    <row r="33" spans="1:14" s="163" customFormat="1" x14ac:dyDescent="0.15">
      <c r="A33" s="156" t="e">
        <f>+' - état 30 - Février  06  '!#REF!</f>
        <v>#REF!</v>
      </c>
      <c r="B33" s="156" t="e">
        <f>+' - état 30 - Février  06  '!#REF!</f>
        <v>#REF!</v>
      </c>
      <c r="C33" s="66">
        <v>2</v>
      </c>
      <c r="D33" s="157" t="s">
        <v>301</v>
      </c>
      <c r="E33" s="158"/>
      <c r="F33" s="159"/>
      <c r="G33" s="159"/>
      <c r="H33" s="159"/>
      <c r="I33" s="160"/>
      <c r="J33" s="160">
        <f>SUM(I34:I42)</f>
        <v>137.94999999999999</v>
      </c>
      <c r="K33" s="161"/>
      <c r="L33" s="162">
        <f>SUM(K34:K42)</f>
        <v>134.6</v>
      </c>
      <c r="M33" s="147"/>
      <c r="N33" s="165"/>
    </row>
    <row r="34" spans="1:14" x14ac:dyDescent="0.15">
      <c r="B34" s="65" t="e">
        <f>+' - état 30 - Février  06  '!#REF!</f>
        <v>#REF!</v>
      </c>
      <c r="C34" s="66"/>
      <c r="D34" s="67"/>
      <c r="E34" s="68">
        <v>1</v>
      </c>
      <c r="F34" s="67">
        <v>5.96</v>
      </c>
      <c r="G34" s="67">
        <v>1</v>
      </c>
      <c r="H34" s="67">
        <v>1</v>
      </c>
      <c r="I34" s="67">
        <f t="shared" ref="I34:I42" si="2">SUM(E34*F34*G34*H34)</f>
        <v>5.96</v>
      </c>
      <c r="K34" s="148">
        <v>6</v>
      </c>
    </row>
    <row r="35" spans="1:14" x14ac:dyDescent="0.15">
      <c r="B35" s="65" t="e">
        <f>+' - état 30 - Février  06  '!#REF!</f>
        <v>#REF!</v>
      </c>
      <c r="C35" s="66"/>
      <c r="D35" s="67"/>
      <c r="E35" s="68">
        <v>3</v>
      </c>
      <c r="F35" s="67">
        <v>5.7</v>
      </c>
      <c r="G35" s="67">
        <v>1</v>
      </c>
      <c r="H35" s="67">
        <v>1</v>
      </c>
      <c r="I35" s="67">
        <f>SUM(E35*F35*G35*H35)</f>
        <v>17.100000000000001</v>
      </c>
      <c r="K35" s="148">
        <f>3*5.82</f>
        <v>17.46</v>
      </c>
    </row>
    <row r="36" spans="1:14" x14ac:dyDescent="0.15">
      <c r="B36" s="65" t="e">
        <f>+' - état 30 - Février  06  '!#REF!</f>
        <v>#REF!</v>
      </c>
      <c r="C36" s="66"/>
      <c r="D36" s="67"/>
      <c r="E36" s="68">
        <v>1</v>
      </c>
      <c r="F36" s="67">
        <v>23</v>
      </c>
      <c r="G36" s="67">
        <v>1</v>
      </c>
      <c r="H36" s="67">
        <v>1</v>
      </c>
      <c r="I36" s="67">
        <f t="shared" si="2"/>
        <v>23</v>
      </c>
      <c r="K36" s="148">
        <v>22.94</v>
      </c>
    </row>
    <row r="37" spans="1:14" x14ac:dyDescent="0.15">
      <c r="B37" s="65" t="e">
        <f>+' - état 30 - Février  06  '!#REF!</f>
        <v>#REF!</v>
      </c>
      <c r="C37" s="66"/>
      <c r="D37" s="67"/>
      <c r="E37" s="68">
        <v>1</v>
      </c>
      <c r="F37" s="67">
        <v>22.4</v>
      </c>
      <c r="G37" s="67">
        <v>1</v>
      </c>
      <c r="H37" s="67">
        <v>1</v>
      </c>
      <c r="I37" s="67">
        <f t="shared" si="2"/>
        <v>22.4</v>
      </c>
      <c r="K37" s="148">
        <v>22.42</v>
      </c>
    </row>
    <row r="38" spans="1:14" x14ac:dyDescent="0.15">
      <c r="B38" s="65" t="e">
        <f>+' - état 30 - Février  06  '!#REF!</f>
        <v>#REF!</v>
      </c>
      <c r="C38" s="66"/>
      <c r="D38" s="67"/>
      <c r="E38" s="68">
        <v>1</v>
      </c>
      <c r="F38" s="67">
        <v>14.92</v>
      </c>
      <c r="G38" s="67">
        <v>1</v>
      </c>
      <c r="H38" s="67">
        <v>1</v>
      </c>
      <c r="I38" s="67">
        <f t="shared" si="2"/>
        <v>14.92</v>
      </c>
      <c r="K38" s="148">
        <f>6.883+4.69</f>
        <v>11.57</v>
      </c>
    </row>
    <row r="39" spans="1:14" x14ac:dyDescent="0.15">
      <c r="B39" s="65" t="e">
        <f>+' - état 30 - Février  06  '!#REF!</f>
        <v>#REF!</v>
      </c>
      <c r="C39" s="66"/>
      <c r="D39" s="67"/>
      <c r="E39" s="68">
        <v>1</v>
      </c>
      <c r="F39" s="67">
        <v>5.23</v>
      </c>
      <c r="G39" s="67">
        <v>1</v>
      </c>
      <c r="H39" s="67">
        <v>1</v>
      </c>
      <c r="I39" s="67">
        <f t="shared" si="2"/>
        <v>5.23</v>
      </c>
      <c r="K39" s="148">
        <f>+K40/2</f>
        <v>5.57</v>
      </c>
    </row>
    <row r="40" spans="1:14" x14ac:dyDescent="0.15">
      <c r="B40" s="65" t="e">
        <f>+' - état 30 - Février  06  '!#REF!</f>
        <v>#REF!</v>
      </c>
      <c r="C40" s="66"/>
      <c r="D40" s="67"/>
      <c r="E40" s="68">
        <v>1</v>
      </c>
      <c r="F40" s="67">
        <v>11.44</v>
      </c>
      <c r="G40" s="67">
        <v>1</v>
      </c>
      <c r="H40" s="67">
        <v>1</v>
      </c>
      <c r="I40" s="67">
        <f t="shared" si="2"/>
        <v>11.44</v>
      </c>
      <c r="K40" s="148">
        <v>11.14</v>
      </c>
    </row>
    <row r="41" spans="1:14" x14ac:dyDescent="0.15">
      <c r="B41" s="65" t="e">
        <f>+' - état 30 - Février  06  '!#REF!</f>
        <v>#REF!</v>
      </c>
      <c r="C41" s="66"/>
      <c r="D41" s="67"/>
      <c r="E41" s="68">
        <v>1</v>
      </c>
      <c r="F41" s="67">
        <v>21.9</v>
      </c>
      <c r="G41" s="67">
        <v>1</v>
      </c>
      <c r="H41" s="67">
        <v>1</v>
      </c>
      <c r="I41" s="67">
        <f t="shared" si="2"/>
        <v>21.9</v>
      </c>
      <c r="K41" s="148">
        <f>33.34-11.8</f>
        <v>21.54</v>
      </c>
    </row>
    <row r="42" spans="1:14" x14ac:dyDescent="0.15">
      <c r="B42" s="65" t="e">
        <f>+' - état 30 - Février  06  '!#REF!</f>
        <v>#REF!</v>
      </c>
      <c r="C42" s="66"/>
      <c r="D42" s="67"/>
      <c r="E42" s="68">
        <v>4</v>
      </c>
      <c r="F42" s="67">
        <v>4</v>
      </c>
      <c r="G42" s="67">
        <v>1</v>
      </c>
      <c r="H42" s="67">
        <v>1</v>
      </c>
      <c r="I42" s="67">
        <f t="shared" si="2"/>
        <v>16</v>
      </c>
      <c r="K42" s="148">
        <f>4*3.99</f>
        <v>15.96</v>
      </c>
    </row>
    <row r="43" spans="1:14" s="163" customFormat="1" x14ac:dyDescent="0.15">
      <c r="A43" s="156"/>
      <c r="B43" s="156" t="s">
        <v>474</v>
      </c>
      <c r="C43" s="66"/>
      <c r="D43" s="157" t="s">
        <v>472</v>
      </c>
      <c r="E43" s="158"/>
      <c r="F43" s="159"/>
      <c r="G43" s="159"/>
      <c r="H43" s="159"/>
      <c r="I43" s="160"/>
      <c r="J43" s="160"/>
      <c r="K43" s="161"/>
      <c r="L43" s="162">
        <v>11.8</v>
      </c>
      <c r="M43" s="147"/>
      <c r="N43" s="167" t="s">
        <v>475</v>
      </c>
    </row>
    <row r="44" spans="1:14" s="163" customFormat="1" x14ac:dyDescent="0.15">
      <c r="A44" s="156" t="e">
        <f>+' - état 30 - Février  06  '!#REF!</f>
        <v>#REF!</v>
      </c>
      <c r="B44" s="156" t="e">
        <f>+' - état 30 - Février  06  '!#REF!</f>
        <v>#REF!</v>
      </c>
      <c r="C44" s="66">
        <v>2</v>
      </c>
      <c r="D44" s="157" t="s">
        <v>473</v>
      </c>
      <c r="E44" s="158"/>
      <c r="F44" s="159"/>
      <c r="G44" s="159"/>
      <c r="H44" s="159"/>
      <c r="I44" s="160"/>
      <c r="J44" s="160">
        <f>SUM(I45:I46)</f>
        <v>11.55</v>
      </c>
      <c r="K44" s="161"/>
      <c r="L44" s="162">
        <f>SUM(K45:K46)</f>
        <v>11.52</v>
      </c>
      <c r="M44" s="147"/>
      <c r="N44" s="165"/>
    </row>
    <row r="45" spans="1:14" x14ac:dyDescent="0.15">
      <c r="B45" s="65" t="e">
        <f>+' - état 30 - Février  06  '!#REF!</f>
        <v>#REF!</v>
      </c>
      <c r="C45" s="66"/>
      <c r="D45" s="67"/>
      <c r="E45" s="68">
        <v>1</v>
      </c>
      <c r="F45" s="67">
        <v>5.65</v>
      </c>
      <c r="G45" s="67">
        <v>1</v>
      </c>
      <c r="H45" s="67">
        <v>1</v>
      </c>
      <c r="I45" s="67">
        <f>SUM(E45*F45*G45*H45)</f>
        <v>5.65</v>
      </c>
      <c r="K45" s="148">
        <v>5.82</v>
      </c>
    </row>
    <row r="46" spans="1:14" x14ac:dyDescent="0.15">
      <c r="B46" s="65" t="e">
        <f>+' - état 30 - Février  06  '!#REF!</f>
        <v>#REF!</v>
      </c>
      <c r="C46" s="66"/>
      <c r="D46" s="67"/>
      <c r="E46" s="68">
        <v>1</v>
      </c>
      <c r="F46" s="67">
        <v>5.9</v>
      </c>
      <c r="G46" s="67">
        <v>1</v>
      </c>
      <c r="H46" s="67">
        <v>1</v>
      </c>
      <c r="I46" s="67">
        <f>SUM(E46*F46*G46*H46)</f>
        <v>5.9</v>
      </c>
      <c r="K46" s="148">
        <v>5.7</v>
      </c>
    </row>
    <row r="47" spans="1:14" s="163" customFormat="1" x14ac:dyDescent="0.15">
      <c r="A47" s="156" t="e">
        <f>+' - état 30 - Février  06  '!#REF!</f>
        <v>#REF!</v>
      </c>
      <c r="B47" s="156" t="e">
        <f>+' - état 30 - Février  06  '!#REF!</f>
        <v>#REF!</v>
      </c>
      <c r="C47" s="66">
        <v>2</v>
      </c>
      <c r="D47" s="157" t="s">
        <v>301</v>
      </c>
      <c r="E47" s="158">
        <v>7</v>
      </c>
      <c r="F47" s="159">
        <v>7.2</v>
      </c>
      <c r="G47" s="159">
        <v>1</v>
      </c>
      <c r="H47" s="159">
        <v>1</v>
      </c>
      <c r="I47" s="160">
        <f>SUM(E47*F47*G47*H47)</f>
        <v>50.4</v>
      </c>
      <c r="J47" s="160">
        <f>+I47</f>
        <v>50.4</v>
      </c>
      <c r="K47" s="161"/>
      <c r="L47" s="162">
        <f>SUM(K48:K51)</f>
        <v>43.66</v>
      </c>
      <c r="M47" s="147"/>
      <c r="N47" s="167" t="s">
        <v>475</v>
      </c>
    </row>
    <row r="48" spans="1:14" x14ac:dyDescent="0.15">
      <c r="B48" s="65" t="s">
        <v>467</v>
      </c>
      <c r="K48" s="148">
        <f>2*4.6</f>
        <v>9.1999999999999993</v>
      </c>
    </row>
    <row r="49" spans="1:15" x14ac:dyDescent="0.15">
      <c r="B49" s="65" t="s">
        <v>468</v>
      </c>
      <c r="K49" s="148">
        <f>7.29+7.13</f>
        <v>14.42</v>
      </c>
    </row>
    <row r="50" spans="1:15" x14ac:dyDescent="0.15">
      <c r="B50" s="65" t="s">
        <v>469</v>
      </c>
      <c r="K50" s="148">
        <f>+K49</f>
        <v>14.42</v>
      </c>
    </row>
    <row r="51" spans="1:15" x14ac:dyDescent="0.15">
      <c r="B51" s="65" t="s">
        <v>470</v>
      </c>
      <c r="K51" s="148">
        <v>5.62</v>
      </c>
    </row>
    <row r="52" spans="1:15" s="163" customFormat="1" x14ac:dyDescent="0.15">
      <c r="A52" s="156"/>
      <c r="B52" s="156" t="s">
        <v>471</v>
      </c>
      <c r="C52" s="66"/>
      <c r="D52" s="157" t="s">
        <v>472</v>
      </c>
      <c r="E52" s="158"/>
      <c r="F52" s="159"/>
      <c r="G52" s="159"/>
      <c r="H52" s="159"/>
      <c r="I52" s="160"/>
      <c r="J52" s="160">
        <f>+'Toit grange'!J37</f>
        <v>43</v>
      </c>
      <c r="K52" s="161"/>
      <c r="L52" s="162">
        <f>8.53+8.66+11.8+11.8</f>
        <v>40.79</v>
      </c>
      <c r="M52" s="147"/>
      <c r="N52" s="166"/>
      <c r="O52" s="147"/>
    </row>
    <row r="53" spans="1:15" s="163" customFormat="1" x14ac:dyDescent="0.15">
      <c r="A53" s="156" t="e">
        <f>+' - état 30 - Février  06  '!#REF!</f>
        <v>#REF!</v>
      </c>
      <c r="B53" s="156" t="e">
        <f>+' - état 30 - Février  06  '!#REF!</f>
        <v>#REF!</v>
      </c>
      <c r="C53" s="66">
        <v>2</v>
      </c>
      <c r="D53" s="157" t="s">
        <v>301</v>
      </c>
      <c r="E53" s="158"/>
      <c r="F53" s="159"/>
      <c r="G53" s="159"/>
      <c r="H53" s="159"/>
      <c r="I53" s="160"/>
      <c r="J53" s="160">
        <f>SUM(I54:I61)</f>
        <v>225.12</v>
      </c>
      <c r="K53" s="161"/>
      <c r="L53" s="162">
        <f>SUM(K54:K61)</f>
        <v>217.73</v>
      </c>
      <c r="M53" s="147"/>
      <c r="N53" s="167" t="s">
        <v>475</v>
      </c>
      <c r="O53" s="147"/>
    </row>
    <row r="54" spans="1:15" x14ac:dyDescent="0.15">
      <c r="B54" s="65" t="e">
        <f>+' - état 30 - Février  06  '!#REF!</f>
        <v>#REF!</v>
      </c>
      <c r="C54" s="66"/>
      <c r="D54" s="67"/>
      <c r="E54" s="68">
        <v>1</v>
      </c>
      <c r="F54" s="67">
        <v>71.569999999999993</v>
      </c>
      <c r="G54" s="67">
        <v>1</v>
      </c>
      <c r="H54" s="67">
        <v>1</v>
      </c>
      <c r="I54" s="67">
        <f t="shared" ref="I54:I61" si="3">SUM(E54*F54*G54*H54)</f>
        <v>71.569999999999993</v>
      </c>
      <c r="K54" s="148">
        <f>6.754+12.525+6.244+20.064+19.536</f>
        <v>65.12</v>
      </c>
    </row>
    <row r="55" spans="1:15" x14ac:dyDescent="0.15">
      <c r="B55" s="65" t="e">
        <f>+' - état 30 - Février  06  '!#REF!</f>
        <v>#REF!</v>
      </c>
      <c r="C55" s="66"/>
      <c r="D55" s="67"/>
      <c r="E55" s="68">
        <v>2</v>
      </c>
      <c r="F55" s="67">
        <v>22.31</v>
      </c>
      <c r="G55" s="67">
        <v>1</v>
      </c>
      <c r="H55" s="67">
        <v>1</v>
      </c>
      <c r="I55" s="67">
        <f t="shared" si="3"/>
        <v>44.62</v>
      </c>
      <c r="K55" s="148">
        <f>22.416+22.384</f>
        <v>44.8</v>
      </c>
    </row>
    <row r="56" spans="1:15" x14ac:dyDescent="0.15">
      <c r="B56" s="65" t="e">
        <f>+' - état 30 - Février  06  '!#REF!</f>
        <v>#REF!</v>
      </c>
      <c r="C56" s="66"/>
      <c r="D56" s="67"/>
      <c r="E56" s="68">
        <v>1</v>
      </c>
      <c r="F56" s="67">
        <v>11.15</v>
      </c>
      <c r="G56" s="67">
        <v>1</v>
      </c>
      <c r="H56" s="67">
        <v>1</v>
      </c>
      <c r="I56" s="67">
        <f t="shared" si="3"/>
        <v>11.15</v>
      </c>
      <c r="K56" s="148">
        <v>11.16</v>
      </c>
    </row>
    <row r="57" spans="1:15" x14ac:dyDescent="0.15">
      <c r="B57" s="65" t="e">
        <f>+' - état 30 - Février  06  '!#REF!</f>
        <v>#REF!</v>
      </c>
      <c r="C57" s="66"/>
      <c r="D57" s="67"/>
      <c r="E57" s="68">
        <v>1</v>
      </c>
      <c r="F57" s="67">
        <v>25.5</v>
      </c>
      <c r="G57" s="67">
        <v>1</v>
      </c>
      <c r="H57" s="67">
        <v>1</v>
      </c>
      <c r="I57" s="67">
        <f t="shared" si="3"/>
        <v>25.5</v>
      </c>
      <c r="K57" s="148">
        <f>6.883+18.688</f>
        <v>25.57</v>
      </c>
    </row>
    <row r="58" spans="1:15" x14ac:dyDescent="0.15">
      <c r="B58" s="65" t="e">
        <f>+' - état 30 - Février  06  '!#REF!</f>
        <v>#REF!</v>
      </c>
      <c r="C58" s="66"/>
      <c r="D58" s="67"/>
      <c r="E58" s="68">
        <v>1</v>
      </c>
      <c r="F58" s="67">
        <v>21.5</v>
      </c>
      <c r="G58" s="67">
        <v>1</v>
      </c>
      <c r="H58" s="67">
        <v>1</v>
      </c>
      <c r="I58" s="67">
        <f t="shared" si="3"/>
        <v>21.5</v>
      </c>
      <c r="K58" s="148">
        <f>33.342-11.8</f>
        <v>21.54</v>
      </c>
    </row>
    <row r="59" spans="1:15" x14ac:dyDescent="0.15">
      <c r="B59" s="65" t="e">
        <f>+' - état 30 - Février  06  '!#REF!</f>
        <v>#REF!</v>
      </c>
      <c r="C59" s="66"/>
      <c r="D59" s="67"/>
      <c r="E59" s="68">
        <v>1</v>
      </c>
      <c r="F59" s="67">
        <v>29.23</v>
      </c>
      <c r="G59" s="67">
        <v>1</v>
      </c>
      <c r="H59" s="67">
        <v>1</v>
      </c>
      <c r="I59" s="67">
        <f t="shared" si="3"/>
        <v>29.23</v>
      </c>
      <c r="K59" s="148">
        <f>40.935-11.8</f>
        <v>29.14</v>
      </c>
    </row>
    <row r="60" spans="1:15" x14ac:dyDescent="0.15">
      <c r="B60" s="65" t="e">
        <f>+' - état 30 - Février  06  '!#REF!</f>
        <v>#REF!</v>
      </c>
      <c r="C60" s="66"/>
      <c r="D60" s="67"/>
      <c r="E60" s="68">
        <v>1</v>
      </c>
      <c r="F60" s="67">
        <v>15.45</v>
      </c>
      <c r="G60" s="67">
        <v>1</v>
      </c>
      <c r="H60" s="67">
        <v>1</v>
      </c>
      <c r="I60" s="67">
        <f t="shared" si="3"/>
        <v>15.45</v>
      </c>
      <c r="K60" s="148">
        <f>2*3.572+2*3.586</f>
        <v>14.32</v>
      </c>
    </row>
    <row r="61" spans="1:15" x14ac:dyDescent="0.15">
      <c r="B61" s="65" t="e">
        <f>+' - état 30 - Février  06  '!#REF!</f>
        <v>#REF!</v>
      </c>
      <c r="C61" s="66"/>
      <c r="D61" s="67"/>
      <c r="E61" s="68">
        <v>2</v>
      </c>
      <c r="F61" s="67">
        <v>3.05</v>
      </c>
      <c r="G61" s="67">
        <v>1</v>
      </c>
      <c r="H61" s="67">
        <v>1</v>
      </c>
      <c r="I61" s="67">
        <f t="shared" si="3"/>
        <v>6.1</v>
      </c>
      <c r="K61" s="148">
        <f>2*3.04</f>
        <v>6.08</v>
      </c>
    </row>
    <row r="62" spans="1:15" s="163" customFormat="1" x14ac:dyDescent="0.15">
      <c r="A62" s="172"/>
      <c r="B62" s="172" t="s">
        <v>476</v>
      </c>
      <c r="C62" s="173"/>
      <c r="D62" s="174" t="s">
        <v>472</v>
      </c>
      <c r="E62" s="175"/>
      <c r="F62" s="176"/>
      <c r="G62" s="176"/>
      <c r="H62" s="176"/>
      <c r="I62" s="177"/>
      <c r="J62" s="177">
        <f>+'Toit grange'!J39</f>
        <v>23</v>
      </c>
      <c r="K62" s="178"/>
      <c r="L62" s="179">
        <f>2*11.8+6.363</f>
        <v>29.96</v>
      </c>
      <c r="M62" s="147"/>
      <c r="N62" s="167" t="s">
        <v>475</v>
      </c>
      <c r="O62" s="147" t="s">
        <v>477</v>
      </c>
    </row>
    <row r="63" spans="1:15" s="163" customFormat="1" x14ac:dyDescent="0.15">
      <c r="A63" s="156" t="e">
        <f>+' - état 30 - Février  06  '!#REF!</f>
        <v>#REF!</v>
      </c>
      <c r="B63" s="156" t="e">
        <f>+' - état 30 - Février  06  '!#REF!</f>
        <v>#REF!</v>
      </c>
      <c r="C63" s="66">
        <v>2</v>
      </c>
      <c r="D63" s="157" t="s">
        <v>301</v>
      </c>
      <c r="E63" s="158"/>
      <c r="F63" s="159"/>
      <c r="G63" s="159"/>
      <c r="H63" s="159"/>
      <c r="I63" s="160"/>
      <c r="J63" s="160">
        <f>SUM(I64:I76)</f>
        <v>82.92</v>
      </c>
      <c r="K63" s="161"/>
      <c r="L63" s="162">
        <f>SUM(K64:K77)</f>
        <v>91.87</v>
      </c>
      <c r="M63" s="147"/>
      <c r="N63" s="180" t="s">
        <v>479</v>
      </c>
      <c r="O63" s="147" t="s">
        <v>485</v>
      </c>
    </row>
    <row r="64" spans="1:15" x14ac:dyDescent="0.15">
      <c r="B64" s="65" t="e">
        <f>+' - état 30 - Février  06  '!#REF!</f>
        <v>#REF!</v>
      </c>
      <c r="C64" s="66"/>
      <c r="D64" s="67"/>
      <c r="E64" s="68">
        <v>1</v>
      </c>
      <c r="F64" s="67">
        <v>6.13</v>
      </c>
      <c r="G64" s="67">
        <v>1</v>
      </c>
      <c r="H64" s="67">
        <v>1</v>
      </c>
      <c r="I64" s="67">
        <f t="shared" ref="I64:I76" si="4">SUM(E64*F64*G64*H64)</f>
        <v>6.13</v>
      </c>
      <c r="J64" s="56"/>
      <c r="K64" s="148">
        <v>5.7</v>
      </c>
    </row>
    <row r="65" spans="1:15" x14ac:dyDescent="0.15">
      <c r="B65" s="65" t="e">
        <f>+' - état 30 - Février  06  '!#REF!</f>
        <v>#REF!</v>
      </c>
      <c r="C65" s="66"/>
      <c r="D65" s="67"/>
      <c r="E65" s="68">
        <v>1</v>
      </c>
      <c r="F65" s="67">
        <v>6.94</v>
      </c>
      <c r="G65" s="67">
        <v>1</v>
      </c>
      <c r="H65" s="67">
        <v>1</v>
      </c>
      <c r="I65" s="67">
        <f t="shared" si="4"/>
        <v>6.94</v>
      </c>
      <c r="J65" s="56"/>
      <c r="K65" s="148">
        <v>8.43</v>
      </c>
    </row>
    <row r="66" spans="1:15" x14ac:dyDescent="0.15">
      <c r="B66" s="65" t="e">
        <f>+' - état 30 - Février  06  '!#REF!</f>
        <v>#REF!</v>
      </c>
      <c r="C66" s="66"/>
      <c r="D66" s="67"/>
      <c r="E66" s="68">
        <v>1</v>
      </c>
      <c r="F66" s="67">
        <v>6.94</v>
      </c>
      <c r="G66" s="67">
        <v>1</v>
      </c>
      <c r="H66" s="67">
        <v>1</v>
      </c>
      <c r="I66" s="67">
        <f t="shared" si="4"/>
        <v>6.94</v>
      </c>
      <c r="J66" s="56"/>
      <c r="K66" s="148">
        <v>6.85</v>
      </c>
    </row>
    <row r="67" spans="1:15" x14ac:dyDescent="0.15">
      <c r="B67" s="65" t="e">
        <f>+' - état 30 - Février  06  '!#REF!</f>
        <v>#REF!</v>
      </c>
      <c r="C67" s="66"/>
      <c r="D67" s="67"/>
      <c r="E67" s="68">
        <v>1</v>
      </c>
      <c r="F67" s="67">
        <v>8.1300000000000008</v>
      </c>
      <c r="G67" s="67">
        <v>1</v>
      </c>
      <c r="H67" s="67">
        <v>1</v>
      </c>
      <c r="I67" s="67">
        <f t="shared" si="4"/>
        <v>8.1300000000000008</v>
      </c>
      <c r="J67" s="56"/>
      <c r="K67" s="148">
        <v>6.47</v>
      </c>
    </row>
    <row r="68" spans="1:15" x14ac:dyDescent="0.15">
      <c r="B68" s="65" t="e">
        <f>+' - état 30 - Février  06  '!#REF!</f>
        <v>#REF!</v>
      </c>
      <c r="C68" s="66"/>
      <c r="D68" s="67"/>
      <c r="E68" s="68">
        <v>1</v>
      </c>
      <c r="F68" s="67">
        <v>2.8</v>
      </c>
      <c r="G68" s="67">
        <v>1</v>
      </c>
      <c r="H68" s="67">
        <v>1</v>
      </c>
      <c r="I68" s="67">
        <f t="shared" si="4"/>
        <v>2.8</v>
      </c>
      <c r="J68" s="56"/>
      <c r="K68" s="148">
        <v>6.55</v>
      </c>
    </row>
    <row r="69" spans="1:15" x14ac:dyDescent="0.15">
      <c r="B69" s="65" t="e">
        <f>+' - état 30 - Février  06  '!#REF!</f>
        <v>#REF!</v>
      </c>
      <c r="C69" s="66"/>
      <c r="D69" s="67"/>
      <c r="E69" s="68">
        <v>1</v>
      </c>
      <c r="F69" s="67">
        <v>5.42</v>
      </c>
      <c r="G69" s="67">
        <v>1</v>
      </c>
      <c r="H69" s="67">
        <v>1</v>
      </c>
      <c r="I69" s="67">
        <f t="shared" si="4"/>
        <v>5.42</v>
      </c>
      <c r="J69" s="56"/>
      <c r="K69" s="148">
        <v>6.19</v>
      </c>
    </row>
    <row r="70" spans="1:15" x14ac:dyDescent="0.15">
      <c r="B70" s="65" t="e">
        <f>+' - état 30 - Février  06  '!#REF!</f>
        <v>#REF!</v>
      </c>
      <c r="C70" s="66"/>
      <c r="D70" s="67"/>
      <c r="E70" s="68">
        <v>1</v>
      </c>
      <c r="F70" s="67">
        <v>6.56</v>
      </c>
      <c r="G70" s="67">
        <v>1</v>
      </c>
      <c r="H70" s="67">
        <v>1</v>
      </c>
      <c r="I70" s="67">
        <f t="shared" si="4"/>
        <v>6.56</v>
      </c>
      <c r="J70" s="56"/>
      <c r="K70" s="148">
        <v>5.28</v>
      </c>
    </row>
    <row r="71" spans="1:15" x14ac:dyDescent="0.15">
      <c r="B71" s="65" t="e">
        <f>+' - état 30 - Février  06  '!#REF!</f>
        <v>#REF!</v>
      </c>
      <c r="C71" s="66"/>
      <c r="D71" s="67"/>
      <c r="E71" s="68">
        <v>1</v>
      </c>
      <c r="F71" s="67">
        <v>6.6</v>
      </c>
      <c r="G71" s="67">
        <v>1</v>
      </c>
      <c r="H71" s="67">
        <v>1</v>
      </c>
      <c r="I71" s="67">
        <f t="shared" si="4"/>
        <v>6.6</v>
      </c>
      <c r="J71" s="56"/>
      <c r="K71" s="148">
        <v>2.77</v>
      </c>
    </row>
    <row r="72" spans="1:15" x14ac:dyDescent="0.15">
      <c r="B72" s="65" t="e">
        <f>+' - état 30 - Février  06  '!#REF!</f>
        <v>#REF!</v>
      </c>
      <c r="C72" s="66"/>
      <c r="D72" s="67"/>
      <c r="E72" s="68">
        <v>1</v>
      </c>
      <c r="F72" s="67">
        <v>6.18</v>
      </c>
      <c r="G72" s="67">
        <v>1</v>
      </c>
      <c r="H72" s="67">
        <v>1</v>
      </c>
      <c r="I72" s="67">
        <f t="shared" si="4"/>
        <v>6.18</v>
      </c>
      <c r="J72" s="56"/>
      <c r="K72" s="148">
        <v>8.11</v>
      </c>
    </row>
    <row r="73" spans="1:15" x14ac:dyDescent="0.15">
      <c r="B73" s="65" t="e">
        <f>+' - état 30 - Février  06  '!#REF!</f>
        <v>#REF!</v>
      </c>
      <c r="C73" s="66"/>
      <c r="D73" s="67"/>
      <c r="E73" s="68">
        <v>1</v>
      </c>
      <c r="F73" s="67">
        <v>6.06</v>
      </c>
      <c r="G73" s="67">
        <v>1</v>
      </c>
      <c r="H73" s="67">
        <v>1</v>
      </c>
      <c r="I73" s="67">
        <f t="shared" si="4"/>
        <v>6.06</v>
      </c>
      <c r="J73" s="56"/>
      <c r="K73" s="148">
        <v>6.55</v>
      </c>
    </row>
    <row r="74" spans="1:15" x14ac:dyDescent="0.15">
      <c r="B74" s="65" t="e">
        <f>+' - état 30 - Février  06  '!#REF!</f>
        <v>#REF!</v>
      </c>
      <c r="C74" s="66"/>
      <c r="D74" s="67"/>
      <c r="E74" s="68">
        <v>1</v>
      </c>
      <c r="F74" s="67">
        <v>5.71</v>
      </c>
      <c r="G74" s="67">
        <v>1</v>
      </c>
      <c r="H74" s="67">
        <v>1</v>
      </c>
      <c r="I74" s="67">
        <f t="shared" si="4"/>
        <v>5.71</v>
      </c>
      <c r="J74" s="56"/>
      <c r="K74" s="148">
        <v>6.32</v>
      </c>
    </row>
    <row r="75" spans="1:15" x14ac:dyDescent="0.15">
      <c r="B75" s="65" t="e">
        <f>+' - état 30 - Février  06  '!#REF!</f>
        <v>#REF!</v>
      </c>
      <c r="C75" s="66"/>
      <c r="D75" s="67"/>
      <c r="E75" s="68">
        <v>1</v>
      </c>
      <c r="F75" s="67">
        <v>8.9499999999999993</v>
      </c>
      <c r="G75" s="67">
        <v>1</v>
      </c>
      <c r="H75" s="67">
        <v>1</v>
      </c>
      <c r="I75" s="67">
        <f t="shared" si="4"/>
        <v>8.9499999999999993</v>
      </c>
      <c r="J75" s="56"/>
      <c r="K75" s="148">
        <v>8.3000000000000007</v>
      </c>
    </row>
    <row r="76" spans="1:15" x14ac:dyDescent="0.15">
      <c r="B76" s="65" t="e">
        <f>+' - état 30 - Février  06  '!#REF!</f>
        <v>#REF!</v>
      </c>
      <c r="C76" s="66"/>
      <c r="D76" s="67"/>
      <c r="E76" s="68">
        <v>1</v>
      </c>
      <c r="F76" s="67">
        <v>6.5</v>
      </c>
      <c r="G76" s="67">
        <v>1</v>
      </c>
      <c r="H76" s="67">
        <v>1</v>
      </c>
      <c r="I76" s="67">
        <f t="shared" si="4"/>
        <v>6.5</v>
      </c>
      <c r="J76" s="56"/>
      <c r="K76" s="148">
        <v>8.41</v>
      </c>
    </row>
    <row r="77" spans="1:15" x14ac:dyDescent="0.15">
      <c r="B77" s="65"/>
      <c r="C77" s="66"/>
      <c r="D77" s="67"/>
      <c r="E77" s="68"/>
      <c r="F77" s="74"/>
      <c r="G77" s="74"/>
      <c r="H77" s="74"/>
      <c r="I77" s="67"/>
      <c r="J77" s="56"/>
      <c r="K77" s="148">
        <v>5.94</v>
      </c>
    </row>
    <row r="78" spans="1:15" s="163" customFormat="1" x14ac:dyDescent="0.15">
      <c r="A78" s="156"/>
      <c r="B78" s="156" t="s">
        <v>478</v>
      </c>
      <c r="C78" s="66"/>
      <c r="D78" s="157" t="s">
        <v>472</v>
      </c>
      <c r="E78" s="158"/>
      <c r="F78" s="159"/>
      <c r="G78" s="159"/>
      <c r="H78" s="159"/>
      <c r="I78" s="160"/>
      <c r="J78" s="160">
        <f>+'Toit grange'!J40</f>
        <v>30</v>
      </c>
      <c r="K78" s="161"/>
      <c r="L78" s="162">
        <f>2.24+6.28+6.21+6</f>
        <v>20.73</v>
      </c>
      <c r="M78" s="147"/>
      <c r="N78" s="180" t="s">
        <v>479</v>
      </c>
      <c r="O78" s="147" t="s">
        <v>485</v>
      </c>
    </row>
    <row r="82" spans="1:12" s="163" customFormat="1" x14ac:dyDescent="0.15">
      <c r="A82" s="156" t="e">
        <f>+' - état 30 - Février  06  '!#REF!</f>
        <v>#REF!</v>
      </c>
      <c r="B82" s="168" t="e">
        <f>+' - état 30 - Février  06  '!#REF!</f>
        <v>#REF!</v>
      </c>
      <c r="C82" s="66">
        <v>2</v>
      </c>
      <c r="D82" s="157" t="s">
        <v>301</v>
      </c>
      <c r="E82" s="158"/>
      <c r="F82" s="159"/>
      <c r="G82" s="159"/>
      <c r="H82" s="159"/>
      <c r="I82" s="160"/>
      <c r="J82" s="160">
        <f>SUM(I83:I85)</f>
        <v>178.1</v>
      </c>
      <c r="K82" s="161"/>
      <c r="L82" s="162">
        <f>SUM(K83:K85)</f>
        <v>176.03</v>
      </c>
    </row>
    <row r="83" spans="1:12" x14ac:dyDescent="0.15">
      <c r="B83" s="65" t="e">
        <f>+' - état 30 - Février  06  '!#REF!</f>
        <v>#REF!</v>
      </c>
      <c r="C83" s="66"/>
      <c r="D83" s="67"/>
      <c r="E83" s="68">
        <v>1</v>
      </c>
      <c r="F83" s="67">
        <v>22.2</v>
      </c>
      <c r="G83" s="67">
        <v>1</v>
      </c>
      <c r="H83" s="67">
        <v>1</v>
      </c>
      <c r="I83" s="67">
        <f>SUM(E83*F83*G83*H83)</f>
        <v>22.2</v>
      </c>
      <c r="J83" s="56"/>
      <c r="K83" s="148">
        <v>22.15</v>
      </c>
      <c r="L83" s="56"/>
    </row>
    <row r="84" spans="1:12" x14ac:dyDescent="0.15">
      <c r="B84" s="65" t="e">
        <f>+' - état 30 - Février  06  '!#REF!</f>
        <v>#REF!</v>
      </c>
      <c r="C84" s="66"/>
      <c r="D84" s="67"/>
      <c r="E84" s="68">
        <v>1</v>
      </c>
      <c r="F84" s="67">
        <v>57.2</v>
      </c>
      <c r="G84" s="67">
        <v>1</v>
      </c>
      <c r="H84" s="67">
        <v>1</v>
      </c>
      <c r="I84" s="67">
        <f>SUM(E84*F84*G84*H84)</f>
        <v>57.2</v>
      </c>
      <c r="J84" s="56"/>
      <c r="K84" s="148">
        <f>10.27+15.71+13.44+13.98+1.75</f>
        <v>55.15</v>
      </c>
      <c r="L84" s="56"/>
    </row>
    <row r="85" spans="1:12" x14ac:dyDescent="0.15">
      <c r="B85" s="65" t="e">
        <f>+' - état 30 - Février  06  '!#REF!</f>
        <v>#REF!</v>
      </c>
      <c r="C85" s="66"/>
      <c r="D85" s="67"/>
      <c r="E85" s="68">
        <v>1</v>
      </c>
      <c r="F85" s="67">
        <v>98.7</v>
      </c>
      <c r="G85" s="67">
        <v>1</v>
      </c>
      <c r="H85" s="67">
        <v>1</v>
      </c>
      <c r="I85" s="67">
        <f>SUM(E85*F85*G85*H85)</f>
        <v>98.7</v>
      </c>
      <c r="J85" s="56"/>
      <c r="K85" s="148">
        <f>13.04+14.49+17.26+7.17+9.63+12.39+18.77+5.98</f>
        <v>98.73</v>
      </c>
      <c r="L85" s="56"/>
    </row>
    <row r="86" spans="1:12" s="163" customFormat="1" x14ac:dyDescent="0.15">
      <c r="A86" s="156" t="e">
        <f>+' - état 30 - Février  06  '!#REF!</f>
        <v>#REF!</v>
      </c>
      <c r="B86" s="168" t="e">
        <f>+' - état 30 - Février  06  '!#REF!</f>
        <v>#REF!</v>
      </c>
      <c r="C86" s="66">
        <v>2</v>
      </c>
      <c r="D86" s="157" t="s">
        <v>301</v>
      </c>
      <c r="E86" s="158"/>
      <c r="F86" s="159"/>
      <c r="G86" s="159"/>
      <c r="H86" s="159"/>
      <c r="I86" s="160"/>
      <c r="J86" s="160">
        <f>SUM(I87:I104)</f>
        <v>113.8</v>
      </c>
      <c r="K86" s="161"/>
      <c r="L86" s="162">
        <f>SUM(K87:K104)</f>
        <v>114.53</v>
      </c>
    </row>
    <row r="87" spans="1:12" x14ac:dyDescent="0.15">
      <c r="B87" s="65" t="e">
        <f>+' - état 30 - Février  06  '!#REF!</f>
        <v>#REF!</v>
      </c>
      <c r="C87" s="66"/>
      <c r="D87" s="67"/>
      <c r="E87" s="68">
        <v>1</v>
      </c>
      <c r="F87" s="67">
        <v>9.75</v>
      </c>
      <c r="G87" s="67">
        <v>1</v>
      </c>
      <c r="H87" s="67">
        <v>1</v>
      </c>
      <c r="I87" s="67">
        <f>SUM(E87*F87*G87*H87)</f>
        <v>9.75</v>
      </c>
      <c r="J87" s="56"/>
      <c r="K87" s="148">
        <v>8.9</v>
      </c>
      <c r="L87" s="56"/>
    </row>
    <row r="88" spans="1:12" x14ac:dyDescent="0.15">
      <c r="B88" s="65" t="e">
        <f>+' - état 30 - Février  06  '!#REF!</f>
        <v>#REF!</v>
      </c>
      <c r="C88" s="66"/>
      <c r="D88" s="67"/>
      <c r="E88" s="68">
        <v>1</v>
      </c>
      <c r="F88" s="67">
        <v>6.5</v>
      </c>
      <c r="G88" s="67">
        <v>1</v>
      </c>
      <c r="H88" s="67">
        <v>1</v>
      </c>
      <c r="I88" s="67">
        <f t="shared" ref="I88:I103" si="5">SUM(E88*F88*G88*H88)</f>
        <v>6.5</v>
      </c>
      <c r="J88" s="56"/>
      <c r="K88" s="148">
        <v>6.49</v>
      </c>
      <c r="L88" s="56"/>
    </row>
    <row r="89" spans="1:12" x14ac:dyDescent="0.15">
      <c r="B89" s="65" t="e">
        <f>+' - état 30 - Février  06  '!#REF!</f>
        <v>#REF!</v>
      </c>
      <c r="C89" s="66"/>
      <c r="D89" s="67"/>
      <c r="E89" s="68">
        <v>1</v>
      </c>
      <c r="F89" s="67">
        <v>7.7</v>
      </c>
      <c r="G89" s="67">
        <v>1</v>
      </c>
      <c r="H89" s="67">
        <v>1</v>
      </c>
      <c r="I89" s="67">
        <f t="shared" si="5"/>
        <v>7.7</v>
      </c>
      <c r="J89" s="56"/>
      <c r="K89" s="148">
        <v>7.65</v>
      </c>
      <c r="L89" s="56"/>
    </row>
    <row r="90" spans="1:12" x14ac:dyDescent="0.15">
      <c r="B90" s="65" t="e">
        <f>+' - état 30 - Février  06  '!#REF!</f>
        <v>#REF!</v>
      </c>
      <c r="C90" s="66"/>
      <c r="D90" s="67"/>
      <c r="E90" s="68">
        <v>1</v>
      </c>
      <c r="F90" s="67">
        <v>5.25</v>
      </c>
      <c r="G90" s="67">
        <v>1</v>
      </c>
      <c r="H90" s="67">
        <v>1</v>
      </c>
      <c r="I90" s="67">
        <f t="shared" si="5"/>
        <v>5.25</v>
      </c>
      <c r="J90" s="56"/>
      <c r="K90" s="148">
        <v>5.24</v>
      </c>
      <c r="L90" s="56"/>
    </row>
    <row r="91" spans="1:12" x14ac:dyDescent="0.15">
      <c r="B91" s="65" t="e">
        <f>+' - état 30 - Février  06  '!#REF!</f>
        <v>#REF!</v>
      </c>
      <c r="C91" s="66"/>
      <c r="D91" s="67"/>
      <c r="E91" s="68">
        <v>1</v>
      </c>
      <c r="F91" s="67">
        <v>8.6</v>
      </c>
      <c r="G91" s="67">
        <v>1</v>
      </c>
      <c r="H91" s="67">
        <v>1</v>
      </c>
      <c r="I91" s="67">
        <f t="shared" si="5"/>
        <v>8.6</v>
      </c>
      <c r="J91" s="56"/>
      <c r="K91" s="148">
        <v>8.6</v>
      </c>
      <c r="L91" s="56"/>
    </row>
    <row r="92" spans="1:12" x14ac:dyDescent="0.15">
      <c r="B92" s="65" t="e">
        <f>+' - état 30 - Février  06  '!#REF!</f>
        <v>#REF!</v>
      </c>
      <c r="C92" s="66"/>
      <c r="D92" s="67"/>
      <c r="E92" s="68">
        <v>1</v>
      </c>
      <c r="F92" s="67">
        <v>2.75</v>
      </c>
      <c r="G92" s="67">
        <v>1</v>
      </c>
      <c r="H92" s="67">
        <v>1</v>
      </c>
      <c r="I92" s="67">
        <f t="shared" si="5"/>
        <v>2.75</v>
      </c>
      <c r="J92" s="56"/>
      <c r="K92" s="148">
        <v>2.75</v>
      </c>
      <c r="L92" s="56"/>
    </row>
    <row r="93" spans="1:12" x14ac:dyDescent="0.15">
      <c r="B93" s="65" t="e">
        <f>+' - état 30 - Février  06  '!#REF!</f>
        <v>#REF!</v>
      </c>
      <c r="C93" s="66"/>
      <c r="D93" s="67"/>
      <c r="E93" s="68">
        <v>1</v>
      </c>
      <c r="F93" s="67">
        <v>6.6</v>
      </c>
      <c r="G93" s="67">
        <v>1</v>
      </c>
      <c r="H93" s="67">
        <v>1</v>
      </c>
      <c r="I93" s="67">
        <f t="shared" si="5"/>
        <v>6.6</v>
      </c>
      <c r="J93" s="56"/>
      <c r="K93" s="148">
        <v>8.4700000000000006</v>
      </c>
      <c r="L93" s="56"/>
    </row>
    <row r="94" spans="1:12" x14ac:dyDescent="0.15">
      <c r="B94" s="65" t="e">
        <f>+' - état 30 - Février  06  '!#REF!</f>
        <v>#REF!</v>
      </c>
      <c r="C94" s="66"/>
      <c r="D94" s="67"/>
      <c r="E94" s="68">
        <v>1</v>
      </c>
      <c r="F94" s="67">
        <v>6.3</v>
      </c>
      <c r="G94" s="67">
        <v>1</v>
      </c>
      <c r="H94" s="67">
        <v>1</v>
      </c>
      <c r="I94" s="67">
        <f t="shared" si="5"/>
        <v>6.3</v>
      </c>
      <c r="J94" s="56"/>
      <c r="K94" s="148">
        <v>6.27</v>
      </c>
      <c r="L94" s="56"/>
    </row>
    <row r="95" spans="1:12" x14ac:dyDescent="0.15">
      <c r="B95" s="65" t="e">
        <f>+' - état 30 - Février  06  '!#REF!</f>
        <v>#REF!</v>
      </c>
      <c r="C95" s="66"/>
      <c r="D95" s="67"/>
      <c r="E95" s="68">
        <v>1</v>
      </c>
      <c r="F95" s="67">
        <v>7.8</v>
      </c>
      <c r="G95" s="67">
        <v>1</v>
      </c>
      <c r="H95" s="67">
        <v>1</v>
      </c>
      <c r="I95" s="67">
        <f t="shared" si="5"/>
        <v>7.8</v>
      </c>
      <c r="J95" s="56"/>
      <c r="K95" s="148">
        <v>7.72</v>
      </c>
      <c r="L95" s="56"/>
    </row>
    <row r="96" spans="1:12" x14ac:dyDescent="0.15">
      <c r="B96" s="65" t="e">
        <f>+' - état 30 - Février  06  '!#REF!</f>
        <v>#REF!</v>
      </c>
      <c r="C96" s="66"/>
      <c r="D96" s="67"/>
      <c r="E96" s="68">
        <v>1</v>
      </c>
      <c r="F96" s="67">
        <v>7.75</v>
      </c>
      <c r="G96" s="67">
        <v>1</v>
      </c>
      <c r="H96" s="67">
        <v>1</v>
      </c>
      <c r="I96" s="67">
        <f t="shared" si="5"/>
        <v>7.75</v>
      </c>
      <c r="J96" s="56"/>
      <c r="K96" s="148">
        <v>7.75</v>
      </c>
      <c r="L96" s="56"/>
    </row>
    <row r="97" spans="1:12" x14ac:dyDescent="0.15">
      <c r="B97" s="65" t="e">
        <f>+' - état 30 - Février  06  '!#REF!</f>
        <v>#REF!</v>
      </c>
      <c r="C97" s="66"/>
      <c r="D97" s="67"/>
      <c r="E97" s="68">
        <v>1</v>
      </c>
      <c r="F97" s="67">
        <v>6.4</v>
      </c>
      <c r="G97" s="67">
        <v>1</v>
      </c>
      <c r="H97" s="67">
        <v>1</v>
      </c>
      <c r="I97" s="67">
        <f t="shared" si="5"/>
        <v>6.4</v>
      </c>
      <c r="J97" s="56"/>
      <c r="K97" s="148">
        <v>6.37</v>
      </c>
      <c r="L97" s="56"/>
    </row>
    <row r="98" spans="1:12" x14ac:dyDescent="0.15">
      <c r="B98" s="65" t="e">
        <f>+' - état 30 - Février  06  '!#REF!</f>
        <v>#REF!</v>
      </c>
      <c r="C98" s="66"/>
      <c r="D98" s="67"/>
      <c r="E98" s="68">
        <v>1</v>
      </c>
      <c r="F98" s="67">
        <v>4</v>
      </c>
      <c r="G98" s="67">
        <v>1</v>
      </c>
      <c r="H98" s="67">
        <v>1</v>
      </c>
      <c r="I98" s="67">
        <f t="shared" si="5"/>
        <v>4</v>
      </c>
      <c r="J98" s="56"/>
      <c r="K98" s="148">
        <v>3.92</v>
      </c>
      <c r="L98" s="56"/>
    </row>
    <row r="99" spans="1:12" x14ac:dyDescent="0.15">
      <c r="B99" s="65" t="e">
        <f>+' - état 30 - Février  06  '!#REF!</f>
        <v>#REF!</v>
      </c>
      <c r="C99" s="66"/>
      <c r="D99" s="67"/>
      <c r="E99" s="68">
        <v>1</v>
      </c>
      <c r="F99" s="67">
        <v>5</v>
      </c>
      <c r="G99" s="67">
        <v>1</v>
      </c>
      <c r="H99" s="67">
        <v>1</v>
      </c>
      <c r="I99" s="67">
        <f>SUM(E99*F99*G99*H99)</f>
        <v>5</v>
      </c>
      <c r="J99" s="56"/>
      <c r="K99" s="148">
        <v>4.9400000000000004</v>
      </c>
      <c r="L99" s="56"/>
    </row>
    <row r="100" spans="1:12" x14ac:dyDescent="0.15">
      <c r="B100" s="65" t="e">
        <f>+' - état 30 - Février  06  '!#REF!</f>
        <v>#REF!</v>
      </c>
      <c r="C100" s="66"/>
      <c r="D100" s="67"/>
      <c r="E100" s="68">
        <v>1</v>
      </c>
      <c r="F100" s="67">
        <v>6.5</v>
      </c>
      <c r="G100" s="67">
        <v>1</v>
      </c>
      <c r="H100" s="67">
        <v>1</v>
      </c>
      <c r="I100" s="67">
        <f t="shared" si="5"/>
        <v>6.5</v>
      </c>
      <c r="J100" s="56"/>
      <c r="K100" s="148">
        <v>6.51</v>
      </c>
      <c r="L100" s="56"/>
    </row>
    <row r="101" spans="1:12" x14ac:dyDescent="0.15">
      <c r="B101" s="65" t="e">
        <f>+' - état 30 - Février  06  '!#REF!</f>
        <v>#REF!</v>
      </c>
      <c r="C101" s="66"/>
      <c r="D101" s="67"/>
      <c r="E101" s="68">
        <v>1</v>
      </c>
      <c r="F101" s="67">
        <v>7.3</v>
      </c>
      <c r="G101" s="67">
        <v>1</v>
      </c>
      <c r="H101" s="67">
        <v>1</v>
      </c>
      <c r="I101" s="67">
        <f t="shared" si="5"/>
        <v>7.3</v>
      </c>
      <c r="J101" s="56"/>
      <c r="K101" s="148">
        <v>7.28</v>
      </c>
      <c r="L101" s="56"/>
    </row>
    <row r="102" spans="1:12" x14ac:dyDescent="0.15">
      <c r="B102" s="65" t="e">
        <f>+' - état 30 - Février  06  '!#REF!</f>
        <v>#REF!</v>
      </c>
      <c r="C102" s="66"/>
      <c r="D102" s="67"/>
      <c r="E102" s="68">
        <v>1</v>
      </c>
      <c r="F102" s="67">
        <v>5.6</v>
      </c>
      <c r="G102" s="67">
        <v>1</v>
      </c>
      <c r="H102" s="67">
        <v>1</v>
      </c>
      <c r="I102" s="67">
        <f t="shared" si="5"/>
        <v>5.6</v>
      </c>
      <c r="J102" s="56"/>
      <c r="K102" s="148">
        <v>5.68</v>
      </c>
      <c r="L102" s="56"/>
    </row>
    <row r="103" spans="1:12" x14ac:dyDescent="0.15">
      <c r="B103" s="65" t="e">
        <f>+' - état 30 - Février  06  '!#REF!</f>
        <v>#REF!</v>
      </c>
      <c r="C103" s="66"/>
      <c r="D103" s="67"/>
      <c r="E103" s="68">
        <v>1</v>
      </c>
      <c r="F103" s="67">
        <v>4.3</v>
      </c>
      <c r="G103" s="67">
        <v>1</v>
      </c>
      <c r="H103" s="67">
        <v>1</v>
      </c>
      <c r="I103" s="67">
        <f t="shared" si="5"/>
        <v>4.3</v>
      </c>
      <c r="J103" s="56"/>
      <c r="K103" s="148">
        <v>4.29</v>
      </c>
      <c r="L103" s="56"/>
    </row>
    <row r="104" spans="1:12" x14ac:dyDescent="0.15">
      <c r="B104" s="65" t="e">
        <f>+' - état 30 - Février  06  '!#REF!</f>
        <v>#REF!</v>
      </c>
      <c r="C104" s="66"/>
      <c r="D104" s="67"/>
      <c r="E104" s="68">
        <v>1</v>
      </c>
      <c r="F104" s="67">
        <v>5.7</v>
      </c>
      <c r="G104" s="67">
        <v>1</v>
      </c>
      <c r="H104" s="67">
        <v>1</v>
      </c>
      <c r="I104" s="67">
        <f>SUM(E104*F104*G104*H104)</f>
        <v>5.7</v>
      </c>
      <c r="J104" s="56"/>
      <c r="K104" s="148">
        <v>5.7</v>
      </c>
      <c r="L104" s="56"/>
    </row>
    <row r="105" spans="1:12" s="163" customFormat="1" x14ac:dyDescent="0.15">
      <c r="A105" s="156" t="e">
        <f>+' - état 30 - Février  06  '!#REF!</f>
        <v>#REF!</v>
      </c>
      <c r="B105" s="168" t="e">
        <f>+' - état 30 - Février  06  '!#REF!</f>
        <v>#REF!</v>
      </c>
      <c r="C105" s="66">
        <v>2</v>
      </c>
      <c r="D105" s="157" t="s">
        <v>301</v>
      </c>
      <c r="E105" s="158"/>
      <c r="F105" s="159"/>
      <c r="G105" s="159"/>
      <c r="H105" s="159"/>
      <c r="I105" s="160"/>
      <c r="J105" s="160">
        <f>SUM(I106:I113)</f>
        <v>282.68</v>
      </c>
      <c r="K105" s="161"/>
      <c r="L105" s="162">
        <f>SUM(K106:K113)</f>
        <v>282.79000000000002</v>
      </c>
    </row>
    <row r="106" spans="1:12" x14ac:dyDescent="0.15">
      <c r="B106" s="65" t="e">
        <f>+' - état 30 - Février  06  '!#REF!</f>
        <v>#REF!</v>
      </c>
      <c r="C106" s="66"/>
      <c r="D106" s="67"/>
      <c r="E106" s="68">
        <v>1</v>
      </c>
      <c r="F106" s="67">
        <v>14.8</v>
      </c>
      <c r="G106" s="67">
        <v>1</v>
      </c>
      <c r="H106" s="67">
        <v>1</v>
      </c>
      <c r="I106" s="67">
        <f t="shared" ref="I106:I113" si="6">SUM(E106*F106*G106*H106)</f>
        <v>14.8</v>
      </c>
      <c r="J106" s="56"/>
      <c r="K106" s="148">
        <v>14.51</v>
      </c>
      <c r="L106" s="56"/>
    </row>
    <row r="107" spans="1:12" x14ac:dyDescent="0.15">
      <c r="B107" s="65" t="e">
        <f>+' - état 30 - Février  06  '!#REF!</f>
        <v>#REF!</v>
      </c>
      <c r="C107" s="66"/>
      <c r="D107" s="67"/>
      <c r="E107" s="68">
        <v>1</v>
      </c>
      <c r="F107" s="67">
        <v>66.900000000000006</v>
      </c>
      <c r="G107" s="67">
        <v>1</v>
      </c>
      <c r="H107" s="67">
        <v>1</v>
      </c>
      <c r="I107" s="67">
        <f t="shared" si="6"/>
        <v>66.900000000000006</v>
      </c>
      <c r="J107" s="56"/>
      <c r="K107" s="148">
        <v>66.89</v>
      </c>
      <c r="L107" s="56"/>
    </row>
    <row r="108" spans="1:12" x14ac:dyDescent="0.15">
      <c r="B108" s="65" t="e">
        <f>+' - état 30 - Février  06  '!#REF!</f>
        <v>#REF!</v>
      </c>
      <c r="C108" s="66"/>
      <c r="D108" s="67"/>
      <c r="E108" s="68">
        <v>1</v>
      </c>
      <c r="F108" s="67">
        <v>20.75</v>
      </c>
      <c r="G108" s="67">
        <v>1</v>
      </c>
      <c r="H108" s="67">
        <v>1</v>
      </c>
      <c r="I108" s="67">
        <f t="shared" si="6"/>
        <v>20.75</v>
      </c>
      <c r="J108" s="56"/>
      <c r="K108" s="148">
        <v>20.77</v>
      </c>
      <c r="L108" s="56"/>
    </row>
    <row r="109" spans="1:12" x14ac:dyDescent="0.15">
      <c r="B109" s="65" t="e">
        <f>+' - état 30 - Février  06  '!#REF!</f>
        <v>#REF!</v>
      </c>
      <c r="C109" s="66"/>
      <c r="D109" s="67"/>
      <c r="E109" s="68">
        <v>1</v>
      </c>
      <c r="F109" s="67">
        <v>46.8</v>
      </c>
      <c r="G109" s="67">
        <v>1</v>
      </c>
      <c r="H109" s="67">
        <v>1</v>
      </c>
      <c r="I109" s="67">
        <f t="shared" si="6"/>
        <v>46.8</v>
      </c>
      <c r="J109" s="56"/>
      <c r="K109" s="148">
        <v>46.88</v>
      </c>
      <c r="L109" s="56"/>
    </row>
    <row r="110" spans="1:12" x14ac:dyDescent="0.15">
      <c r="B110" s="65" t="e">
        <f>+' - état 30 - Février  06  '!#REF!</f>
        <v>#REF!</v>
      </c>
      <c r="C110" s="66"/>
      <c r="D110" s="67"/>
      <c r="E110" s="68">
        <v>1</v>
      </c>
      <c r="F110" s="67">
        <v>43.66</v>
      </c>
      <c r="G110" s="67">
        <v>1</v>
      </c>
      <c r="H110" s="67">
        <v>1</v>
      </c>
      <c r="I110" s="67">
        <f t="shared" si="6"/>
        <v>43.66</v>
      </c>
      <c r="J110" s="56"/>
      <c r="K110" s="148">
        <v>43.67</v>
      </c>
      <c r="L110" s="56"/>
    </row>
    <row r="111" spans="1:12" x14ac:dyDescent="0.15">
      <c r="B111" s="65" t="e">
        <f>+' - état 30 - Février  06  '!#REF!</f>
        <v>#REF!</v>
      </c>
      <c r="C111" s="66"/>
      <c r="D111" s="67"/>
      <c r="E111" s="68">
        <v>1</v>
      </c>
      <c r="F111" s="67">
        <v>52.6</v>
      </c>
      <c r="G111" s="67">
        <v>1</v>
      </c>
      <c r="H111" s="67">
        <v>1</v>
      </c>
      <c r="I111" s="67">
        <f t="shared" si="6"/>
        <v>52.6</v>
      </c>
      <c r="J111" s="56"/>
      <c r="K111" s="148">
        <v>52.82</v>
      </c>
      <c r="L111" s="56"/>
    </row>
    <row r="112" spans="1:12" x14ac:dyDescent="0.15">
      <c r="B112" s="65" t="e">
        <f>+' - état 30 - Février  06  '!#REF!</f>
        <v>#REF!</v>
      </c>
      <c r="C112" s="66"/>
      <c r="D112" s="67"/>
      <c r="E112" s="68">
        <v>1</v>
      </c>
      <c r="F112" s="67">
        <v>30.5</v>
      </c>
      <c r="G112" s="67">
        <v>1</v>
      </c>
      <c r="H112" s="67">
        <v>1</v>
      </c>
      <c r="I112" s="67">
        <f t="shared" si="6"/>
        <v>30.5</v>
      </c>
      <c r="J112" s="56"/>
      <c r="K112" s="148">
        <v>30.52</v>
      </c>
      <c r="L112" s="56"/>
    </row>
    <row r="113" spans="1:12" x14ac:dyDescent="0.15">
      <c r="B113" s="65" t="e">
        <f>+' - état 30 - Février  06  '!#REF!</f>
        <v>#REF!</v>
      </c>
      <c r="C113" s="66"/>
      <c r="D113" s="67"/>
      <c r="E113" s="68">
        <v>1</v>
      </c>
      <c r="F113" s="67">
        <v>6.67</v>
      </c>
      <c r="G113" s="67">
        <v>1</v>
      </c>
      <c r="H113" s="67">
        <v>1</v>
      </c>
      <c r="I113" s="67">
        <f t="shared" si="6"/>
        <v>6.67</v>
      </c>
      <c r="J113" s="56"/>
      <c r="K113" s="148">
        <v>6.73</v>
      </c>
      <c r="L113" s="56"/>
    </row>
    <row r="114" spans="1:12" s="163" customFormat="1" x14ac:dyDescent="0.15">
      <c r="A114" s="156" t="e">
        <f>+' - état 30 - Février  06  '!#REF!</f>
        <v>#REF!</v>
      </c>
      <c r="B114" s="168" t="e">
        <f>+' - état 30 - Février  06  '!#REF!</f>
        <v>#REF!</v>
      </c>
      <c r="C114" s="66">
        <v>2</v>
      </c>
      <c r="D114" s="157" t="s">
        <v>301</v>
      </c>
      <c r="E114" s="158"/>
      <c r="F114" s="159"/>
      <c r="G114" s="159"/>
      <c r="H114" s="159"/>
      <c r="I114" s="160"/>
      <c r="J114" s="160">
        <f>SUM(I115:I125)</f>
        <v>96.44</v>
      </c>
      <c r="K114" s="161"/>
      <c r="L114" s="162">
        <f>SUM(K115:K125)</f>
        <v>97.21</v>
      </c>
    </row>
    <row r="115" spans="1:12" x14ac:dyDescent="0.15">
      <c r="B115" s="65" t="e">
        <f>+' - état 30 - Février  06  '!#REF!</f>
        <v>#REF!</v>
      </c>
      <c r="C115" s="66"/>
      <c r="D115" s="67"/>
      <c r="E115" s="68">
        <v>4</v>
      </c>
      <c r="F115" s="67">
        <v>1.5</v>
      </c>
      <c r="G115" s="67">
        <v>1</v>
      </c>
      <c r="H115" s="67">
        <v>1</v>
      </c>
      <c r="I115" s="67">
        <f>SUM(E115*F115*G115*H115)</f>
        <v>6</v>
      </c>
      <c r="J115" s="56"/>
      <c r="K115" s="148">
        <f>4*1.5</f>
        <v>6</v>
      </c>
      <c r="L115" s="56"/>
    </row>
    <row r="116" spans="1:12" x14ac:dyDescent="0.15">
      <c r="B116" s="65" t="e">
        <f>+' - état 30 - Février  06  '!#REF!</f>
        <v>#REF!</v>
      </c>
      <c r="C116" s="66"/>
      <c r="D116" s="67"/>
      <c r="E116" s="68">
        <v>2</v>
      </c>
      <c r="F116" s="67">
        <v>1.2</v>
      </c>
      <c r="G116" s="67">
        <v>1</v>
      </c>
      <c r="H116" s="67">
        <v>1</v>
      </c>
      <c r="I116" s="67">
        <f t="shared" ref="I116:I125" si="7">SUM(E116*F116*G116*H116)</f>
        <v>2.4</v>
      </c>
      <c r="J116" s="56"/>
      <c r="K116" s="148">
        <f>2*1.2</f>
        <v>2.4</v>
      </c>
      <c r="L116" s="56"/>
    </row>
    <row r="117" spans="1:12" x14ac:dyDescent="0.15">
      <c r="B117" s="65" t="e">
        <f>+' - état 30 - Février  06  '!#REF!</f>
        <v>#REF!</v>
      </c>
      <c r="C117" s="66"/>
      <c r="D117" s="67"/>
      <c r="E117" s="68">
        <v>3</v>
      </c>
      <c r="F117" s="67">
        <v>1.2</v>
      </c>
      <c r="G117" s="67">
        <v>1</v>
      </c>
      <c r="H117" s="67">
        <v>1</v>
      </c>
      <c r="I117" s="67">
        <f t="shared" si="7"/>
        <v>3.6</v>
      </c>
      <c r="J117" s="56"/>
      <c r="K117" s="148">
        <f>3*1.4</f>
        <v>4.2</v>
      </c>
      <c r="L117" s="56"/>
    </row>
    <row r="118" spans="1:12" x14ac:dyDescent="0.15">
      <c r="B118" s="65" t="e">
        <f>+' - état 30 - Février  06  '!#REF!</f>
        <v>#REF!</v>
      </c>
      <c r="C118" s="66"/>
      <c r="D118" s="67"/>
      <c r="E118" s="68">
        <v>3</v>
      </c>
      <c r="F118" s="67">
        <v>1.2</v>
      </c>
      <c r="G118" s="67">
        <v>1</v>
      </c>
      <c r="H118" s="67">
        <v>1</v>
      </c>
      <c r="I118" s="67">
        <f t="shared" si="7"/>
        <v>3.6</v>
      </c>
      <c r="J118" s="56"/>
      <c r="K118" s="148">
        <f>3*1.4</f>
        <v>4.2</v>
      </c>
      <c r="L118" s="56"/>
    </row>
    <row r="119" spans="1:12" x14ac:dyDescent="0.15">
      <c r="B119" s="65" t="e">
        <f>+' - état 30 - Février  06  '!#REF!</f>
        <v>#REF!</v>
      </c>
      <c r="C119" s="66"/>
      <c r="D119" s="67"/>
      <c r="E119" s="68">
        <v>2</v>
      </c>
      <c r="F119" s="67">
        <v>3.6</v>
      </c>
      <c r="G119" s="67">
        <v>1</v>
      </c>
      <c r="H119" s="67">
        <v>1</v>
      </c>
      <c r="I119" s="67">
        <f t="shared" si="7"/>
        <v>7.2</v>
      </c>
      <c r="J119" s="56"/>
      <c r="K119" s="148">
        <f>2*3.46</f>
        <v>6.92</v>
      </c>
      <c r="L119" s="56"/>
    </row>
    <row r="120" spans="1:12" x14ac:dyDescent="0.15">
      <c r="B120" s="65" t="e">
        <f>+' - état 30 - Février  06  '!#REF!</f>
        <v>#REF!</v>
      </c>
      <c r="C120" s="66"/>
      <c r="D120" s="67"/>
      <c r="E120" s="68">
        <v>1</v>
      </c>
      <c r="F120" s="67">
        <v>7.4</v>
      </c>
      <c r="G120" s="67">
        <v>1</v>
      </c>
      <c r="H120" s="67">
        <v>1</v>
      </c>
      <c r="I120" s="67">
        <f t="shared" si="7"/>
        <v>7.4</v>
      </c>
      <c r="J120" s="56"/>
      <c r="K120" s="148">
        <v>7.41</v>
      </c>
      <c r="L120" s="56"/>
    </row>
    <row r="121" spans="1:12" x14ac:dyDescent="0.15">
      <c r="B121" s="65" t="e">
        <f>+' - état 30 - Février  06  '!#REF!</f>
        <v>#REF!</v>
      </c>
      <c r="C121" s="66"/>
      <c r="D121" s="67"/>
      <c r="E121" s="68">
        <v>2</v>
      </c>
      <c r="F121" s="67">
        <v>3.26</v>
      </c>
      <c r="G121" s="67">
        <v>1</v>
      </c>
      <c r="H121" s="67">
        <v>1</v>
      </c>
      <c r="I121" s="67">
        <f t="shared" si="7"/>
        <v>6.52</v>
      </c>
      <c r="J121" s="56"/>
      <c r="K121" s="148">
        <f>2*3.27</f>
        <v>6.54</v>
      </c>
      <c r="L121" s="56"/>
    </row>
    <row r="122" spans="1:12" x14ac:dyDescent="0.15">
      <c r="B122" s="65" t="e">
        <f>+' - état 30 - Février  06  '!#REF!</f>
        <v>#REF!</v>
      </c>
      <c r="C122" s="66"/>
      <c r="D122" s="67"/>
      <c r="E122" s="68">
        <v>1</v>
      </c>
      <c r="F122" s="67">
        <v>5.7</v>
      </c>
      <c r="G122" s="67">
        <v>1</v>
      </c>
      <c r="H122" s="67">
        <v>1</v>
      </c>
      <c r="I122" s="67">
        <f t="shared" si="7"/>
        <v>5.7</v>
      </c>
      <c r="J122" s="56"/>
      <c r="K122" s="148">
        <v>5.63</v>
      </c>
      <c r="L122" s="56"/>
    </row>
    <row r="123" spans="1:12" x14ac:dyDescent="0.15">
      <c r="B123" s="65" t="e">
        <f>+' - état 30 - Février  06  '!#REF!</f>
        <v>#REF!</v>
      </c>
      <c r="C123" s="66"/>
      <c r="D123" s="67"/>
      <c r="E123" s="68">
        <v>1</v>
      </c>
      <c r="F123" s="67">
        <v>5.2</v>
      </c>
      <c r="G123" s="67">
        <v>1</v>
      </c>
      <c r="H123" s="67">
        <v>1</v>
      </c>
      <c r="I123" s="67">
        <f t="shared" si="7"/>
        <v>5.2</v>
      </c>
      <c r="J123" s="56"/>
      <c r="K123" s="148">
        <v>5.17</v>
      </c>
      <c r="L123" s="56"/>
    </row>
    <row r="124" spans="1:12" x14ac:dyDescent="0.15">
      <c r="B124" s="65" t="e">
        <f>+' - état 30 - Février  06  '!#REF!</f>
        <v>#REF!</v>
      </c>
      <c r="C124" s="66"/>
      <c r="D124" s="67"/>
      <c r="E124" s="68">
        <v>1</v>
      </c>
      <c r="F124" s="67">
        <v>36.619999999999997</v>
      </c>
      <c r="G124" s="67">
        <v>1</v>
      </c>
      <c r="H124" s="67">
        <v>1</v>
      </c>
      <c r="I124" s="67">
        <f t="shared" si="7"/>
        <v>36.619999999999997</v>
      </c>
      <c r="J124" s="56"/>
      <c r="K124" s="148">
        <v>36.5</v>
      </c>
      <c r="L124" s="56"/>
    </row>
    <row r="125" spans="1:12" x14ac:dyDescent="0.15">
      <c r="B125" s="65" t="e">
        <f>+' - état 30 - Février  06  '!#REF!</f>
        <v>#REF!</v>
      </c>
      <c r="C125" s="66"/>
      <c r="D125" s="67"/>
      <c r="E125" s="68">
        <v>1</v>
      </c>
      <c r="F125" s="67">
        <v>12.2</v>
      </c>
      <c r="G125" s="67">
        <v>1</v>
      </c>
      <c r="H125" s="67">
        <v>1</v>
      </c>
      <c r="I125" s="67">
        <f t="shared" si="7"/>
        <v>12.2</v>
      </c>
      <c r="J125" s="56"/>
      <c r="K125" s="148">
        <f>8.12+1.55+2.57</f>
        <v>12.24</v>
      </c>
      <c r="L125" s="56"/>
    </row>
    <row r="126" spans="1:12" s="163" customFormat="1" x14ac:dyDescent="0.15">
      <c r="A126" s="156" t="e">
        <f>+' - état 30 - Février  06  '!#REF!</f>
        <v>#REF!</v>
      </c>
      <c r="B126" s="156" t="e">
        <f>+' - état 30 - Février  06  '!#REF!</f>
        <v>#REF!</v>
      </c>
      <c r="C126" s="66">
        <v>2</v>
      </c>
      <c r="D126" s="157" t="s">
        <v>301</v>
      </c>
      <c r="E126" s="169">
        <v>2</v>
      </c>
      <c r="F126" s="170">
        <v>15</v>
      </c>
      <c r="G126" s="170">
        <v>1</v>
      </c>
      <c r="H126" s="170">
        <v>1</v>
      </c>
      <c r="I126" s="113">
        <f>SUM(E126*F126*G126*H126)</f>
        <v>30</v>
      </c>
      <c r="J126" s="160">
        <f>+I126</f>
        <v>30</v>
      </c>
      <c r="K126" s="161"/>
      <c r="L126" s="162">
        <f>2*14.58</f>
        <v>29.16</v>
      </c>
    </row>
    <row r="127" spans="1:12" s="163" customFormat="1" x14ac:dyDescent="0.15">
      <c r="A127" s="156" t="e">
        <f>+' - état 30 - Février  06  '!#REF!</f>
        <v>#REF!</v>
      </c>
      <c r="B127" s="156" t="e">
        <f>+' - état 30 - Février  06  '!#REF!</f>
        <v>#REF!</v>
      </c>
      <c r="C127" s="66">
        <v>2</v>
      </c>
      <c r="D127" s="157" t="s">
        <v>299</v>
      </c>
      <c r="E127" s="169"/>
      <c r="F127" s="170"/>
      <c r="G127" s="170"/>
      <c r="H127" s="170"/>
      <c r="I127" s="113"/>
      <c r="J127" s="160">
        <f>SUM(I128:I134)</f>
        <v>16</v>
      </c>
      <c r="K127" s="161"/>
      <c r="L127" s="162">
        <v>16</v>
      </c>
    </row>
    <row r="128" spans="1:12" x14ac:dyDescent="0.15">
      <c r="B128" s="65" t="e">
        <f>+' - état 30 - Février  06  '!#REF!</f>
        <v>#REF!</v>
      </c>
      <c r="C128" s="66"/>
      <c r="D128" s="67"/>
      <c r="E128" s="68">
        <v>1</v>
      </c>
      <c r="F128" s="67">
        <v>1</v>
      </c>
      <c r="G128" s="67">
        <v>1</v>
      </c>
      <c r="H128" s="67">
        <v>1</v>
      </c>
      <c r="I128" s="67">
        <f t="shared" ref="I128:I134" si="8">SUM(E128*F128*G128*H128)</f>
        <v>1</v>
      </c>
      <c r="J128" s="56"/>
      <c r="L128" s="56"/>
    </row>
    <row r="129" spans="1:15" x14ac:dyDescent="0.15">
      <c r="B129" s="65" t="e">
        <f>+' - état 30 - Février  06  '!#REF!</f>
        <v>#REF!</v>
      </c>
      <c r="C129" s="66"/>
      <c r="D129" s="67"/>
      <c r="E129" s="68">
        <v>1</v>
      </c>
      <c r="F129" s="67">
        <v>1</v>
      </c>
      <c r="G129" s="67">
        <v>1</v>
      </c>
      <c r="H129" s="67">
        <v>1</v>
      </c>
      <c r="I129" s="67">
        <f t="shared" si="8"/>
        <v>1</v>
      </c>
      <c r="J129" s="56"/>
      <c r="L129" s="56"/>
    </row>
    <row r="130" spans="1:15" x14ac:dyDescent="0.15">
      <c r="B130" s="65" t="e">
        <f>+' - état 30 - Février  06  '!#REF!</f>
        <v>#REF!</v>
      </c>
      <c r="C130" s="66"/>
      <c r="D130" s="67"/>
      <c r="E130" s="68">
        <v>1</v>
      </c>
      <c r="F130" s="67">
        <v>1</v>
      </c>
      <c r="G130" s="67">
        <v>1</v>
      </c>
      <c r="H130" s="67">
        <v>1</v>
      </c>
      <c r="I130" s="67">
        <f t="shared" si="8"/>
        <v>1</v>
      </c>
      <c r="J130" s="56"/>
      <c r="L130" s="56"/>
    </row>
    <row r="131" spans="1:15" x14ac:dyDescent="0.15">
      <c r="B131" s="65" t="e">
        <f>+' - état 30 - Février  06  '!#REF!</f>
        <v>#REF!</v>
      </c>
      <c r="C131" s="66"/>
      <c r="D131" s="67"/>
      <c r="E131" s="68">
        <v>4</v>
      </c>
      <c r="F131" s="67">
        <v>1</v>
      </c>
      <c r="G131" s="67">
        <v>1</v>
      </c>
      <c r="H131" s="67">
        <v>1</v>
      </c>
      <c r="I131" s="67">
        <f t="shared" si="8"/>
        <v>4</v>
      </c>
      <c r="J131" s="56"/>
      <c r="L131" s="56"/>
    </row>
    <row r="132" spans="1:15" x14ac:dyDescent="0.15">
      <c r="B132" s="65" t="e">
        <f>+' - état 30 - Février  06  '!#REF!</f>
        <v>#REF!</v>
      </c>
      <c r="C132" s="66"/>
      <c r="D132" s="67"/>
      <c r="E132" s="68">
        <v>7</v>
      </c>
      <c r="F132" s="67">
        <v>1</v>
      </c>
      <c r="G132" s="67">
        <v>1</v>
      </c>
      <c r="H132" s="67">
        <v>1</v>
      </c>
      <c r="I132" s="67">
        <f t="shared" si="8"/>
        <v>7</v>
      </c>
      <c r="J132" s="56"/>
      <c r="L132" s="56"/>
    </row>
    <row r="133" spans="1:15" x14ac:dyDescent="0.15">
      <c r="B133" s="65" t="e">
        <f>+' - état 30 - Février  06  '!#REF!</f>
        <v>#REF!</v>
      </c>
      <c r="C133" s="66"/>
      <c r="D133" s="67"/>
      <c r="E133" s="68">
        <v>1</v>
      </c>
      <c r="F133" s="67">
        <v>1</v>
      </c>
      <c r="G133" s="67">
        <v>1</v>
      </c>
      <c r="H133" s="67">
        <v>1</v>
      </c>
      <c r="I133" s="67">
        <f t="shared" si="8"/>
        <v>1</v>
      </c>
      <c r="J133" s="56"/>
      <c r="L133" s="56"/>
    </row>
    <row r="134" spans="1:15" x14ac:dyDescent="0.15">
      <c r="B134" s="65" t="e">
        <f>+' - état 30 - Février  06  '!#REF!</f>
        <v>#REF!</v>
      </c>
      <c r="C134" s="66"/>
      <c r="D134" s="67"/>
      <c r="E134" s="68">
        <v>1</v>
      </c>
      <c r="F134" s="67">
        <v>1</v>
      </c>
      <c r="G134" s="67">
        <v>1</v>
      </c>
      <c r="H134" s="67">
        <v>1</v>
      </c>
      <c r="I134" s="67">
        <f t="shared" si="8"/>
        <v>1</v>
      </c>
      <c r="J134" s="56"/>
      <c r="L134" s="56"/>
    </row>
    <row r="138" spans="1:15" s="163" customFormat="1" x14ac:dyDescent="0.15">
      <c r="A138" s="156" t="e">
        <f>+' - état 30 - Février  06  '!#REF!</f>
        <v>#REF!</v>
      </c>
      <c r="B138" s="156" t="e">
        <f>+' - état 30 - Février  06  '!#REF!</f>
        <v>#REF!</v>
      </c>
      <c r="C138" s="66">
        <v>2</v>
      </c>
      <c r="D138" s="157" t="s">
        <v>300</v>
      </c>
      <c r="E138" s="169"/>
      <c r="F138" s="170"/>
      <c r="G138" s="170"/>
      <c r="H138" s="170"/>
      <c r="I138" s="113"/>
      <c r="J138" s="160">
        <f>SUM(I139:I140)</f>
        <v>217</v>
      </c>
      <c r="K138" s="161"/>
      <c r="L138" s="162">
        <f>SUM(K139:K140)</f>
        <v>180.63</v>
      </c>
      <c r="M138" s="147"/>
      <c r="N138" s="166"/>
      <c r="O138" s="147"/>
    </row>
    <row r="139" spans="1:15" x14ac:dyDescent="0.15">
      <c r="B139" s="65" t="e">
        <f>+' - état 30 - Février  06  '!#REF!</f>
        <v>#REF!</v>
      </c>
      <c r="C139" s="66"/>
      <c r="D139" s="67"/>
      <c r="E139" s="68">
        <v>1</v>
      </c>
      <c r="F139" s="67">
        <v>65</v>
      </c>
      <c r="G139" s="67">
        <v>1</v>
      </c>
      <c r="H139" s="67">
        <v>1</v>
      </c>
      <c r="I139" s="67">
        <f>SUM(E139*F139*G139*H139)</f>
        <v>65</v>
      </c>
      <c r="J139" s="56"/>
      <c r="K139" s="148">
        <v>38.25</v>
      </c>
      <c r="L139" s="56"/>
      <c r="N139" s="167" t="s">
        <v>475</v>
      </c>
      <c r="O139" s="147" t="s">
        <v>486</v>
      </c>
    </row>
    <row r="140" spans="1:15" x14ac:dyDescent="0.15">
      <c r="B140" s="65" t="e">
        <f>+' - état 30 - Février  06  '!#REF!</f>
        <v>#REF!</v>
      </c>
      <c r="C140" s="66"/>
      <c r="D140" s="67"/>
      <c r="E140" s="68">
        <v>1</v>
      </c>
      <c r="F140" s="67">
        <v>152</v>
      </c>
      <c r="G140" s="67">
        <v>1</v>
      </c>
      <c r="H140" s="67">
        <v>1</v>
      </c>
      <c r="I140" s="67">
        <f>SUM(E140*F140*G140*H140)</f>
        <v>152</v>
      </c>
      <c r="J140" s="56"/>
      <c r="K140" s="148">
        <f>132.64+1.86+3.28+3.05+1.55</f>
        <v>142.38</v>
      </c>
      <c r="L140" s="56"/>
    </row>
    <row r="144" spans="1:15" s="163" customFormat="1" x14ac:dyDescent="0.15">
      <c r="A144" s="156" t="e">
        <f>+' - état 30 - Février  06  '!#REF!</f>
        <v>#REF!</v>
      </c>
      <c r="B144" s="156" t="e">
        <f>+' - état 30 - Février  06  '!#REF!</f>
        <v>#REF!</v>
      </c>
      <c r="C144" s="66">
        <v>2</v>
      </c>
      <c r="D144" s="157" t="s">
        <v>300</v>
      </c>
      <c r="E144" s="169"/>
      <c r="F144" s="170"/>
      <c r="G144" s="170"/>
      <c r="H144" s="170"/>
      <c r="I144" s="113"/>
      <c r="J144" s="160">
        <f>SUM(I145:I149)</f>
        <v>165.05</v>
      </c>
      <c r="K144" s="161"/>
      <c r="L144" s="162">
        <f>SUM(K145:K149)</f>
        <v>164.25</v>
      </c>
      <c r="M144" s="147"/>
      <c r="N144" s="166"/>
      <c r="O144" s="147"/>
    </row>
    <row r="145" spans="1:15" x14ac:dyDescent="0.15">
      <c r="B145" s="65" t="e">
        <f>+' - état 30 - Février  06  '!#REF!</f>
        <v>#REF!</v>
      </c>
      <c r="C145" s="66"/>
      <c r="D145" s="67"/>
      <c r="E145" s="68">
        <v>1</v>
      </c>
      <c r="F145" s="67">
        <v>6.1</v>
      </c>
      <c r="G145" s="67">
        <v>0.5</v>
      </c>
      <c r="H145" s="67">
        <v>1</v>
      </c>
      <c r="I145" s="67">
        <f t="shared" ref="I145:I149" si="9">SUM(E145*F145*G145*H145)</f>
        <v>3.05</v>
      </c>
      <c r="J145" s="56"/>
      <c r="K145" s="148">
        <v>2.95</v>
      </c>
      <c r="L145" s="56"/>
    </row>
    <row r="146" spans="1:15" x14ac:dyDescent="0.15">
      <c r="B146" s="65" t="e">
        <f>+' - état 30 - Février  06  '!#REF!</f>
        <v>#REF!</v>
      </c>
      <c r="C146" s="66"/>
      <c r="D146" s="67"/>
      <c r="E146" s="68">
        <v>1</v>
      </c>
      <c r="F146" s="67">
        <v>33</v>
      </c>
      <c r="G146" s="67">
        <v>1</v>
      </c>
      <c r="H146" s="67">
        <v>1</v>
      </c>
      <c r="I146" s="67">
        <f t="shared" si="9"/>
        <v>33</v>
      </c>
      <c r="J146" s="56"/>
      <c r="K146" s="148">
        <v>33.85</v>
      </c>
      <c r="L146" s="56"/>
    </row>
    <row r="147" spans="1:15" x14ac:dyDescent="0.15">
      <c r="B147" s="65" t="e">
        <f>+' - état 30 - Février  06  '!#REF!</f>
        <v>#REF!</v>
      </c>
      <c r="C147" s="66"/>
      <c r="D147" s="67"/>
      <c r="E147" s="68">
        <v>1</v>
      </c>
      <c r="F147" s="67">
        <v>35</v>
      </c>
      <c r="G147" s="67">
        <v>1</v>
      </c>
      <c r="H147" s="67">
        <v>1</v>
      </c>
      <c r="I147" s="67">
        <f t="shared" si="9"/>
        <v>35</v>
      </c>
      <c r="J147" s="56"/>
      <c r="K147" s="148">
        <v>35.409999999999997</v>
      </c>
      <c r="L147" s="56"/>
    </row>
    <row r="148" spans="1:15" x14ac:dyDescent="0.15">
      <c r="B148" s="65" t="e">
        <f>+' - état 30 - Février  06  '!#REF!</f>
        <v>#REF!</v>
      </c>
      <c r="C148" s="66"/>
      <c r="D148" s="67"/>
      <c r="E148" s="68">
        <v>1</v>
      </c>
      <c r="F148" s="67">
        <v>87</v>
      </c>
      <c r="G148" s="67">
        <v>1</v>
      </c>
      <c r="H148" s="67">
        <v>1</v>
      </c>
      <c r="I148" s="67">
        <f t="shared" si="9"/>
        <v>87</v>
      </c>
      <c r="J148" s="56"/>
      <c r="K148" s="148">
        <v>86.52</v>
      </c>
      <c r="L148" s="56"/>
    </row>
    <row r="149" spans="1:15" x14ac:dyDescent="0.15">
      <c r="B149" s="65" t="e">
        <f>+' - état 30 - Février  06  '!#REF!</f>
        <v>#REF!</v>
      </c>
      <c r="C149" s="66"/>
      <c r="D149" s="67"/>
      <c r="E149" s="68">
        <v>1</v>
      </c>
      <c r="F149" s="67">
        <v>7</v>
      </c>
      <c r="G149" s="67">
        <v>1</v>
      </c>
      <c r="H149" s="67">
        <v>1</v>
      </c>
      <c r="I149" s="67">
        <f t="shared" si="9"/>
        <v>7</v>
      </c>
      <c r="J149" s="56"/>
      <c r="K149" s="148">
        <v>5.52</v>
      </c>
      <c r="O149" s="147" t="s">
        <v>487</v>
      </c>
    </row>
    <row r="150" spans="1:15" s="163" customFormat="1" x14ac:dyDescent="0.15">
      <c r="A150" s="156" t="e">
        <f>+' - état 30 - Février  06  '!#REF!</f>
        <v>#REF!</v>
      </c>
      <c r="B150" s="156" t="e">
        <f>+' - état 30 - Février  06  '!#REF!</f>
        <v>#REF!</v>
      </c>
      <c r="C150" s="66">
        <v>2</v>
      </c>
      <c r="D150" s="157" t="s">
        <v>300</v>
      </c>
      <c r="E150" s="169">
        <v>1</v>
      </c>
      <c r="F150" s="170">
        <v>1</v>
      </c>
      <c r="G150" s="170">
        <v>1</v>
      </c>
      <c r="H150" s="170">
        <v>1</v>
      </c>
      <c r="I150" s="113">
        <v>27</v>
      </c>
      <c r="J150" s="160">
        <f>+I150</f>
        <v>27</v>
      </c>
      <c r="K150" s="161"/>
      <c r="L150" s="162">
        <v>25</v>
      </c>
      <c r="M150" s="147"/>
      <c r="N150" s="165"/>
      <c r="O150" s="147"/>
    </row>
    <row r="151" spans="1:15" s="163" customFormat="1" x14ac:dyDescent="0.15">
      <c r="A151" s="156" t="e">
        <f>+' - état 30 - Février  06  '!#REF!</f>
        <v>#REF!</v>
      </c>
      <c r="B151" s="156" t="e">
        <f>+' - état 30 - Février  06  '!#REF!</f>
        <v>#REF!</v>
      </c>
      <c r="C151" s="66">
        <v>2</v>
      </c>
      <c r="D151" s="157" t="s">
        <v>300</v>
      </c>
      <c r="E151" s="169"/>
      <c r="F151" s="170"/>
      <c r="G151" s="170"/>
      <c r="H151" s="170"/>
      <c r="I151" s="113"/>
      <c r="J151" s="160">
        <f>SUM(I152:I153)</f>
        <v>35.659999999999997</v>
      </c>
      <c r="K151" s="161"/>
      <c r="L151" s="162">
        <f>SUM(K152:K154)</f>
        <v>59.92</v>
      </c>
      <c r="M151" s="147"/>
      <c r="N151" s="165"/>
      <c r="O151" s="147"/>
    </row>
    <row r="152" spans="1:15" x14ac:dyDescent="0.15">
      <c r="B152" s="65" t="e">
        <f>+' - état 30 - Février  06  '!#REF!</f>
        <v>#REF!</v>
      </c>
      <c r="C152" s="66"/>
      <c r="D152" s="67"/>
      <c r="E152" s="68">
        <v>1</v>
      </c>
      <c r="F152" s="67">
        <v>17.399999999999999</v>
      </c>
      <c r="G152" s="67">
        <v>1</v>
      </c>
      <c r="H152" s="67">
        <v>1</v>
      </c>
      <c r="I152" s="67">
        <f>SUM(E152*F152*G152*H152)</f>
        <v>17.399999999999999</v>
      </c>
      <c r="J152" s="56"/>
      <c r="K152" s="148">
        <f>103.18-85.99</f>
        <v>17.190000000000001</v>
      </c>
      <c r="L152" s="171"/>
    </row>
    <row r="153" spans="1:15" x14ac:dyDescent="0.15">
      <c r="B153" s="65" t="e">
        <f>+' - état 30 - Février  06  '!#REF!</f>
        <v>#REF!</v>
      </c>
      <c r="C153" s="66"/>
      <c r="D153" s="67"/>
      <c r="E153" s="68">
        <v>1</v>
      </c>
      <c r="F153" s="67">
        <v>8.3000000000000007</v>
      </c>
      <c r="G153" s="67">
        <v>2.2000000000000002</v>
      </c>
      <c r="H153" s="67">
        <v>1</v>
      </c>
      <c r="I153" s="67">
        <f>SUM(E153*F153*G153*H153)</f>
        <v>18.260000000000002</v>
      </c>
      <c r="J153" s="56"/>
      <c r="K153" s="148">
        <f>+I153</f>
        <v>18.260000000000002</v>
      </c>
      <c r="L153" s="171"/>
      <c r="N153" s="167" t="s">
        <v>475</v>
      </c>
      <c r="O153" s="147" t="s">
        <v>488</v>
      </c>
    </row>
    <row r="154" spans="1:15" x14ac:dyDescent="0.15">
      <c r="B154" s="111" t="s">
        <v>480</v>
      </c>
      <c r="C154" s="66"/>
      <c r="D154" s="67"/>
      <c r="E154" s="68"/>
      <c r="F154" s="74"/>
      <c r="G154" s="74"/>
      <c r="H154" s="74"/>
      <c r="I154" s="67"/>
      <c r="J154" s="56"/>
      <c r="K154" s="148">
        <v>24.47</v>
      </c>
      <c r="L154" s="171"/>
      <c r="N154" s="167" t="s">
        <v>475</v>
      </c>
      <c r="O154" s="147" t="s">
        <v>481</v>
      </c>
    </row>
    <row r="155" spans="1:15" s="163" customFormat="1" x14ac:dyDescent="0.15">
      <c r="A155" s="156" t="e">
        <f>+' - état 30 - Février  06  '!#REF!</f>
        <v>#REF!</v>
      </c>
      <c r="B155" s="156" t="e">
        <f>+' - état 30 - Février  06  '!#REF!</f>
        <v>#REF!</v>
      </c>
      <c r="C155" s="66">
        <v>2</v>
      </c>
      <c r="D155" s="157" t="s">
        <v>300</v>
      </c>
      <c r="E155" s="169"/>
      <c r="F155" s="170"/>
      <c r="G155" s="170"/>
      <c r="H155" s="170"/>
      <c r="I155" s="113"/>
      <c r="J155" s="160">
        <f>SUM(I156)</f>
        <v>180</v>
      </c>
      <c r="K155" s="161"/>
      <c r="L155" s="162">
        <f>SUM(K156)</f>
        <v>179.98</v>
      </c>
      <c r="M155" s="147"/>
      <c r="N155" s="165"/>
      <c r="O155" s="147"/>
    </row>
    <row r="156" spans="1:15" x14ac:dyDescent="0.15">
      <c r="B156" s="65" t="e">
        <f>+' - état 30 - Février  06  '!#REF!</f>
        <v>#REF!</v>
      </c>
      <c r="C156" s="66"/>
      <c r="D156" s="67"/>
      <c r="E156" s="68">
        <v>1</v>
      </c>
      <c r="F156" s="67">
        <v>180</v>
      </c>
      <c r="G156" s="67">
        <v>1</v>
      </c>
      <c r="H156" s="67">
        <v>1</v>
      </c>
      <c r="I156" s="67">
        <f>SUM(E156*F156*G156*H156)</f>
        <v>180</v>
      </c>
      <c r="J156" s="56"/>
      <c r="K156" s="148">
        <v>179.98</v>
      </c>
      <c r="L156" s="171"/>
    </row>
    <row r="157" spans="1:15" s="163" customFormat="1" x14ac:dyDescent="0.15">
      <c r="A157" s="156" t="e">
        <f>+' - état 30 - Février  06  '!#REF!</f>
        <v>#REF!</v>
      </c>
      <c r="B157" s="156" t="e">
        <f>+' - état 30 - Février  06  '!#REF!</f>
        <v>#REF!</v>
      </c>
      <c r="C157" s="66">
        <v>2</v>
      </c>
      <c r="D157" s="157" t="s">
        <v>300</v>
      </c>
      <c r="E157" s="169"/>
      <c r="F157" s="170"/>
      <c r="G157" s="170"/>
      <c r="H157" s="170"/>
      <c r="I157" s="113"/>
      <c r="J157" s="160">
        <f>SUM(I158:I163)</f>
        <v>614.14</v>
      </c>
      <c r="K157" s="161"/>
      <c r="L157" s="162">
        <f>SUM(K158:K163)</f>
        <v>571.34</v>
      </c>
      <c r="M157" s="147"/>
      <c r="N157" s="165"/>
      <c r="O157" s="147"/>
    </row>
    <row r="158" spans="1:15" x14ac:dyDescent="0.15">
      <c r="B158" s="65" t="e">
        <f>+' - état 30 - Février  06  '!#REF!</f>
        <v>#REF!</v>
      </c>
      <c r="C158" s="66"/>
      <c r="D158" s="67"/>
      <c r="E158" s="68">
        <v>1</v>
      </c>
      <c r="F158" s="67">
        <v>15.8</v>
      </c>
      <c r="G158" s="67">
        <v>6.5</v>
      </c>
      <c r="H158" s="67">
        <v>1</v>
      </c>
      <c r="I158" s="67">
        <f t="shared" ref="I158:I163" si="10">SUM(E158*F158*G158*H158)</f>
        <v>102.7</v>
      </c>
      <c r="J158" s="56"/>
      <c r="K158" s="148">
        <v>102.64</v>
      </c>
      <c r="L158" s="171"/>
    </row>
    <row r="159" spans="1:15" x14ac:dyDescent="0.15">
      <c r="B159" s="65" t="e">
        <f>+' - état 30 - Février  06  '!#REF!</f>
        <v>#REF!</v>
      </c>
      <c r="C159" s="66"/>
      <c r="D159" s="67"/>
      <c r="E159" s="68">
        <v>1</v>
      </c>
      <c r="F159" s="67">
        <v>17.5</v>
      </c>
      <c r="G159" s="67">
        <v>6.5</v>
      </c>
      <c r="H159" s="67">
        <v>1</v>
      </c>
      <c r="I159" s="67">
        <f t="shared" si="10"/>
        <v>113.75</v>
      </c>
      <c r="J159" s="56"/>
      <c r="K159" s="148">
        <v>113.57</v>
      </c>
      <c r="L159" s="171"/>
    </row>
    <row r="160" spans="1:15" x14ac:dyDescent="0.15">
      <c r="B160" s="65" t="e">
        <f>+' - état 30 - Février  06  '!#REF!</f>
        <v>#REF!</v>
      </c>
      <c r="C160" s="66"/>
      <c r="D160" s="67"/>
      <c r="E160" s="68">
        <v>1</v>
      </c>
      <c r="F160" s="67">
        <v>17.5</v>
      </c>
      <c r="G160" s="67">
        <v>6.5</v>
      </c>
      <c r="H160" s="67">
        <v>1</v>
      </c>
      <c r="I160" s="67">
        <f t="shared" si="10"/>
        <v>113.75</v>
      </c>
      <c r="J160" s="56"/>
      <c r="K160" s="148">
        <v>71.14</v>
      </c>
      <c r="L160" s="171"/>
      <c r="N160" s="167" t="s">
        <v>475</v>
      </c>
    </row>
    <row r="161" spans="1:12" x14ac:dyDescent="0.15">
      <c r="B161" s="65" t="e">
        <f>+' - état 30 - Février  06  '!#REF!</f>
        <v>#REF!</v>
      </c>
      <c r="C161" s="66"/>
      <c r="D161" s="67"/>
      <c r="E161" s="68">
        <v>1</v>
      </c>
      <c r="F161" s="67">
        <v>16.600000000000001</v>
      </c>
      <c r="G161" s="67">
        <v>6.5</v>
      </c>
      <c r="H161" s="67">
        <v>1</v>
      </c>
      <c r="I161" s="67">
        <f t="shared" si="10"/>
        <v>107.9</v>
      </c>
      <c r="J161" s="56"/>
      <c r="K161" s="148">
        <v>108.8</v>
      </c>
      <c r="L161" s="171"/>
    </row>
    <row r="162" spans="1:12" x14ac:dyDescent="0.15">
      <c r="B162" s="65" t="e">
        <f>+' - état 30 - Février  06  '!#REF!</f>
        <v>#REF!</v>
      </c>
      <c r="C162" s="66"/>
      <c r="D162" s="67"/>
      <c r="E162" s="68">
        <v>1</v>
      </c>
      <c r="F162" s="67">
        <v>18.36</v>
      </c>
      <c r="G162" s="67">
        <v>6.5</v>
      </c>
      <c r="H162" s="67">
        <v>1</v>
      </c>
      <c r="I162" s="67">
        <f t="shared" si="10"/>
        <v>119.34</v>
      </c>
      <c r="J162" s="56"/>
      <c r="K162" s="148">
        <v>119.36</v>
      </c>
      <c r="L162" s="171"/>
    </row>
    <row r="163" spans="1:12" x14ac:dyDescent="0.15">
      <c r="B163" s="65" t="e">
        <f>+' - état 30 - Février  06  '!#REF!</f>
        <v>#REF!</v>
      </c>
      <c r="C163" s="66"/>
      <c r="D163" s="67"/>
      <c r="E163" s="68">
        <v>1</v>
      </c>
      <c r="F163" s="67">
        <v>8.1</v>
      </c>
      <c r="G163" s="67">
        <v>7</v>
      </c>
      <c r="H163" s="67">
        <v>1</v>
      </c>
      <c r="I163" s="67">
        <f t="shared" si="10"/>
        <v>56.7</v>
      </c>
      <c r="J163" s="56"/>
      <c r="K163" s="148">
        <v>55.83</v>
      </c>
      <c r="L163" s="171"/>
    </row>
    <row r="164" spans="1:12" s="163" customFormat="1" x14ac:dyDescent="0.15">
      <c r="A164" s="156" t="e">
        <f>+' - état 30 - Février  06  '!#REF!</f>
        <v>#REF!</v>
      </c>
      <c r="B164" s="156" t="e">
        <f>+' - état 30 - Février  06  '!#REF!</f>
        <v>#REF!</v>
      </c>
      <c r="C164" s="66">
        <v>2</v>
      </c>
      <c r="D164" s="157" t="s">
        <v>300</v>
      </c>
      <c r="E164" s="169"/>
      <c r="F164" s="170"/>
      <c r="G164" s="170"/>
      <c r="H164" s="170"/>
      <c r="I164" s="113"/>
      <c r="J164" s="160">
        <f>SUM(I165:I169)</f>
        <v>242.3</v>
      </c>
      <c r="K164" s="161"/>
      <c r="L164" s="162">
        <f>SUM(K165:K169)</f>
        <v>238.71</v>
      </c>
    </row>
    <row r="165" spans="1:12" x14ac:dyDescent="0.15">
      <c r="B165" s="65" t="e">
        <f>+' - état 30 - Février  06  '!#REF!</f>
        <v>#REF!</v>
      </c>
      <c r="C165" s="66"/>
      <c r="D165" s="67"/>
      <c r="E165" s="68">
        <v>1</v>
      </c>
      <c r="F165" s="67">
        <v>21.7</v>
      </c>
      <c r="G165" s="67">
        <v>1</v>
      </c>
      <c r="H165" s="67">
        <v>1</v>
      </c>
      <c r="I165" s="67">
        <f>SUM(E165*F165*G165*H165)</f>
        <v>21.7</v>
      </c>
      <c r="J165" s="56"/>
      <c r="K165" s="148">
        <v>21.64</v>
      </c>
      <c r="L165" s="171"/>
    </row>
    <row r="166" spans="1:12" x14ac:dyDescent="0.15">
      <c r="B166" s="65" t="e">
        <f>+' - état 30 - Février  06  '!#REF!</f>
        <v>#REF!</v>
      </c>
      <c r="C166" s="66"/>
      <c r="D166" s="67"/>
      <c r="E166" s="68">
        <v>1</v>
      </c>
      <c r="F166" s="67">
        <v>106.2</v>
      </c>
      <c r="G166" s="67">
        <v>1</v>
      </c>
      <c r="H166" s="67">
        <v>1</v>
      </c>
      <c r="I166" s="67">
        <f>SUM(E166*F166*G166*H166)</f>
        <v>106.2</v>
      </c>
      <c r="J166" s="56"/>
      <c r="K166" s="148">
        <v>106.06</v>
      </c>
      <c r="L166" s="171"/>
    </row>
    <row r="167" spans="1:12" x14ac:dyDescent="0.15">
      <c r="B167" s="65" t="e">
        <f>+' - état 30 - Février  06  '!#REF!</f>
        <v>#REF!</v>
      </c>
      <c r="C167" s="66"/>
      <c r="D167" s="67"/>
      <c r="E167" s="68">
        <v>1</v>
      </c>
      <c r="F167" s="67">
        <v>39.6</v>
      </c>
      <c r="G167" s="67">
        <v>1</v>
      </c>
      <c r="H167" s="67">
        <v>1</v>
      </c>
      <c r="I167" s="67">
        <f>SUM(E167*F167*G167*H167)</f>
        <v>39.6</v>
      </c>
      <c r="J167" s="56"/>
      <c r="K167" s="148">
        <v>36.54</v>
      </c>
      <c r="L167" s="171"/>
    </row>
    <row r="168" spans="1:12" x14ac:dyDescent="0.15">
      <c r="B168" s="65" t="e">
        <f>+' - état 30 - Février  06  '!#REF!</f>
        <v>#REF!</v>
      </c>
      <c r="C168" s="66"/>
      <c r="D168" s="67"/>
      <c r="E168" s="68">
        <v>1</v>
      </c>
      <c r="F168" s="67">
        <v>20.8</v>
      </c>
      <c r="G168" s="67">
        <v>1</v>
      </c>
      <c r="H168" s="67">
        <v>1</v>
      </c>
      <c r="I168" s="67">
        <f>SUM(E168*F168*G168*H168)</f>
        <v>20.8</v>
      </c>
      <c r="J168" s="56"/>
      <c r="K168" s="148">
        <v>20.47</v>
      </c>
      <c r="L168" s="171"/>
    </row>
    <row r="169" spans="1:12" x14ac:dyDescent="0.15">
      <c r="B169" s="65" t="e">
        <f>+' - état 30 - Février  06  '!#REF!</f>
        <v>#REF!</v>
      </c>
      <c r="C169" s="66"/>
      <c r="D169" s="67"/>
      <c r="E169" s="68">
        <v>1</v>
      </c>
      <c r="F169" s="67">
        <v>54</v>
      </c>
      <c r="G169" s="67">
        <v>1</v>
      </c>
      <c r="H169" s="67">
        <v>1</v>
      </c>
      <c r="I169" s="67">
        <f>SUM(E169*F169*G169*H169)</f>
        <v>54</v>
      </c>
      <c r="J169" s="56"/>
      <c r="K169" s="148">
        <v>54</v>
      </c>
      <c r="L169" s="171"/>
    </row>
    <row r="170" spans="1:12" s="163" customFormat="1" x14ac:dyDescent="0.15">
      <c r="A170" s="156" t="e">
        <f>+' - état 30 - Février  06  '!#REF!</f>
        <v>#REF!</v>
      </c>
      <c r="B170" s="156" t="e">
        <f>+' - état 30 - Février  06  '!#REF!</f>
        <v>#REF!</v>
      </c>
      <c r="C170" s="66">
        <v>2</v>
      </c>
      <c r="D170" s="157" t="s">
        <v>300</v>
      </c>
      <c r="E170" s="169"/>
      <c r="F170" s="170"/>
      <c r="G170" s="170"/>
      <c r="H170" s="170"/>
      <c r="I170" s="113"/>
      <c r="J170" s="160">
        <f>SUM(I171:I173)</f>
        <v>336.2</v>
      </c>
      <c r="K170" s="161"/>
      <c r="L170" s="162">
        <f>SUM(K171:K173)</f>
        <v>336.5</v>
      </c>
    </row>
    <row r="171" spans="1:12" x14ac:dyDescent="0.15">
      <c r="B171" s="65" t="e">
        <f>+' - état 30 - Février  06  '!#REF!</f>
        <v>#REF!</v>
      </c>
      <c r="C171" s="66"/>
      <c r="D171" s="67"/>
      <c r="E171" s="68">
        <v>1</v>
      </c>
      <c r="F171" s="67">
        <v>321</v>
      </c>
      <c r="G171" s="67">
        <v>1</v>
      </c>
      <c r="H171" s="67">
        <v>1</v>
      </c>
      <c r="I171" s="67">
        <f>SUM(E171*F171*G171*H171)</f>
        <v>321</v>
      </c>
      <c r="J171" s="56"/>
      <c r="K171" s="148">
        <f>349.57-13.07</f>
        <v>336.5</v>
      </c>
      <c r="L171" s="171"/>
    </row>
    <row r="172" spans="1:12" x14ac:dyDescent="0.15">
      <c r="B172" s="65" t="e">
        <f>+' - état 30 - Février  06  '!#REF!</f>
        <v>#REF!</v>
      </c>
      <c r="C172" s="66"/>
      <c r="D172" s="67"/>
      <c r="E172" s="68">
        <v>1</v>
      </c>
      <c r="F172" s="67">
        <v>7.6</v>
      </c>
      <c r="G172" s="67">
        <v>1</v>
      </c>
      <c r="H172" s="67">
        <v>1</v>
      </c>
      <c r="I172" s="67">
        <f>SUM(E172*F172*G172*H172)</f>
        <v>7.6</v>
      </c>
      <c r="J172" s="56"/>
      <c r="K172" s="148" t="s">
        <v>482</v>
      </c>
      <c r="L172" s="171"/>
    </row>
    <row r="173" spans="1:12" x14ac:dyDescent="0.15">
      <c r="B173" s="65" t="e">
        <f>+' - état 30 - Février  06  '!#REF!</f>
        <v>#REF!</v>
      </c>
      <c r="C173" s="66"/>
      <c r="D173" s="67"/>
      <c r="E173" s="68">
        <v>1</v>
      </c>
      <c r="F173" s="67">
        <v>7.6</v>
      </c>
      <c r="G173" s="67">
        <v>1</v>
      </c>
      <c r="H173" s="67">
        <v>1</v>
      </c>
      <c r="I173" s="67">
        <f>SUM(E173*F173*G173*H173)</f>
        <v>7.6</v>
      </c>
      <c r="J173" s="56"/>
      <c r="K173" s="148" t="s">
        <v>482</v>
      </c>
      <c r="L173" s="171"/>
    </row>
    <row r="174" spans="1:12" s="163" customFormat="1" x14ac:dyDescent="0.15">
      <c r="A174" s="156" t="e">
        <f>+' - état 30 - Février  06  '!#REF!</f>
        <v>#REF!</v>
      </c>
      <c r="B174" s="156" t="e">
        <f>+' - état 30 - Février  06  '!#REF!</f>
        <v>#REF!</v>
      </c>
      <c r="C174" s="66">
        <v>2</v>
      </c>
      <c r="D174" s="157" t="s">
        <v>300</v>
      </c>
      <c r="E174" s="169"/>
      <c r="F174" s="170"/>
      <c r="G174" s="170"/>
      <c r="H174" s="170"/>
      <c r="I174" s="113"/>
      <c r="J174" s="160">
        <f>SUM(I175:I180)</f>
        <v>582.5</v>
      </c>
      <c r="K174" s="161"/>
      <c r="L174" s="162">
        <f>SUM(K175:K180)</f>
        <v>586.41</v>
      </c>
    </row>
    <row r="175" spans="1:12" x14ac:dyDescent="0.15">
      <c r="B175" s="65" t="e">
        <f>+' - état 30 - Février  06  '!#REF!</f>
        <v>#REF!</v>
      </c>
      <c r="C175" s="66"/>
      <c r="D175" s="67"/>
      <c r="E175" s="68">
        <v>1</v>
      </c>
      <c r="F175" s="67">
        <v>86</v>
      </c>
      <c r="G175" s="67">
        <v>1</v>
      </c>
      <c r="H175" s="67">
        <v>1</v>
      </c>
      <c r="I175" s="67">
        <f t="shared" ref="I175:I181" si="11">SUM(E175*F175*G175*H175)</f>
        <v>86</v>
      </c>
      <c r="J175" s="56"/>
      <c r="K175" s="148">
        <v>86.01</v>
      </c>
      <c r="L175" s="171"/>
    </row>
    <row r="176" spans="1:12" x14ac:dyDescent="0.15">
      <c r="B176" s="65" t="e">
        <f>+' - état 30 - Février  06  '!#REF!</f>
        <v>#REF!</v>
      </c>
      <c r="C176" s="66"/>
      <c r="D176" s="67"/>
      <c r="E176" s="68">
        <v>1</v>
      </c>
      <c r="F176" s="67">
        <v>13</v>
      </c>
      <c r="G176" s="67">
        <v>1</v>
      </c>
      <c r="H176" s="67">
        <v>1</v>
      </c>
      <c r="I176" s="67">
        <f t="shared" si="11"/>
        <v>13</v>
      </c>
      <c r="J176" s="56"/>
      <c r="K176" s="148">
        <v>13.07</v>
      </c>
      <c r="L176" s="171"/>
    </row>
    <row r="177" spans="1:15" x14ac:dyDescent="0.15">
      <c r="B177" s="65" t="e">
        <f>+' - état 30 - Février  06  '!#REF!</f>
        <v>#REF!</v>
      </c>
      <c r="C177" s="66"/>
      <c r="D177" s="67"/>
      <c r="E177" s="68">
        <v>1</v>
      </c>
      <c r="F177" s="67">
        <v>96</v>
      </c>
      <c r="G177" s="67">
        <v>1</v>
      </c>
      <c r="H177" s="67">
        <v>1</v>
      </c>
      <c r="I177" s="67">
        <f t="shared" si="11"/>
        <v>96</v>
      </c>
      <c r="J177" s="56"/>
      <c r="K177" s="148">
        <v>95.54</v>
      </c>
      <c r="L177" s="171"/>
    </row>
    <row r="178" spans="1:15" x14ac:dyDescent="0.15">
      <c r="B178" s="65" t="e">
        <f>+' - état 30 - Février  06  '!#REF!</f>
        <v>#REF!</v>
      </c>
      <c r="C178" s="66"/>
      <c r="D178" s="67"/>
      <c r="E178" s="68">
        <v>1</v>
      </c>
      <c r="F178" s="67">
        <v>60</v>
      </c>
      <c r="G178" s="67">
        <v>1</v>
      </c>
      <c r="H178" s="67">
        <v>1</v>
      </c>
      <c r="I178" s="67">
        <f t="shared" si="11"/>
        <v>60</v>
      </c>
      <c r="J178" s="56"/>
      <c r="K178" s="148">
        <v>59.99</v>
      </c>
      <c r="L178" s="171"/>
    </row>
    <row r="179" spans="1:15" x14ac:dyDescent="0.15">
      <c r="B179" s="65" t="e">
        <f>+' - état 30 - Février  06  '!#REF!</f>
        <v>#REF!</v>
      </c>
      <c r="C179" s="66"/>
      <c r="D179" s="67"/>
      <c r="E179" s="68">
        <v>1</v>
      </c>
      <c r="F179" s="67">
        <v>109.5</v>
      </c>
      <c r="G179" s="67">
        <v>1</v>
      </c>
      <c r="H179" s="67">
        <v>1</v>
      </c>
      <c r="I179" s="67">
        <f t="shared" si="11"/>
        <v>109.5</v>
      </c>
      <c r="J179" s="56"/>
      <c r="K179" s="148">
        <f>54.97+56.4</f>
        <v>111.37</v>
      </c>
      <c r="L179" s="171"/>
    </row>
    <row r="180" spans="1:15" x14ac:dyDescent="0.15">
      <c r="B180" s="65" t="e">
        <f>+' - état 30 - Février  06  '!#REF!</f>
        <v>#REF!</v>
      </c>
      <c r="C180" s="66"/>
      <c r="D180" s="67"/>
      <c r="E180" s="68">
        <v>1</v>
      </c>
      <c r="F180" s="67">
        <v>218</v>
      </c>
      <c r="G180" s="67">
        <v>1</v>
      </c>
      <c r="H180" s="67">
        <v>1</v>
      </c>
      <c r="I180" s="67">
        <f t="shared" si="11"/>
        <v>218</v>
      </c>
      <c r="J180" s="56"/>
      <c r="K180" s="148">
        <v>220.43</v>
      </c>
      <c r="L180" s="171"/>
    </row>
    <row r="181" spans="1:15" x14ac:dyDescent="0.15">
      <c r="B181" s="65" t="e">
        <f>+' - état 30 - Février  06  '!#REF!</f>
        <v>#REF!</v>
      </c>
      <c r="C181" s="66"/>
      <c r="D181" s="67"/>
      <c r="E181" s="68">
        <v>1</v>
      </c>
      <c r="F181" s="67">
        <v>16</v>
      </c>
      <c r="G181" s="67">
        <v>1</v>
      </c>
      <c r="H181" s="67">
        <v>1</v>
      </c>
      <c r="I181" s="67">
        <f t="shared" si="11"/>
        <v>16</v>
      </c>
      <c r="J181" s="56"/>
      <c r="K181" s="148">
        <v>15.71</v>
      </c>
      <c r="L181" s="171"/>
    </row>
    <row r="182" spans="1:15" s="163" customFormat="1" x14ac:dyDescent="0.15">
      <c r="A182" s="156" t="e">
        <f>+' - état 30 - Février  06  '!#REF!</f>
        <v>#REF!</v>
      </c>
      <c r="B182" s="156" t="e">
        <f>+' - état 30 - Février  06  '!#REF!</f>
        <v>#REF!</v>
      </c>
      <c r="C182" s="66">
        <v>2</v>
      </c>
      <c r="D182" s="157" t="s">
        <v>300</v>
      </c>
      <c r="E182" s="169"/>
      <c r="F182" s="170"/>
      <c r="G182" s="170"/>
      <c r="H182" s="170"/>
      <c r="I182" s="113"/>
      <c r="J182" s="160">
        <f>SUM(I183)</f>
        <v>73</v>
      </c>
      <c r="K182" s="161"/>
      <c r="L182" s="162">
        <f>SUM(K183)</f>
        <v>72.400000000000006</v>
      </c>
      <c r="M182" s="147"/>
      <c r="N182" s="165"/>
      <c r="O182" s="147"/>
    </row>
    <row r="183" spans="1:15" x14ac:dyDescent="0.15">
      <c r="B183" s="65" t="e">
        <f>+' - état 30 - Février  06  '!#REF!</f>
        <v>#REF!</v>
      </c>
      <c r="C183" s="66"/>
      <c r="D183" s="67"/>
      <c r="E183" s="68">
        <v>1</v>
      </c>
      <c r="F183" s="67">
        <v>73</v>
      </c>
      <c r="G183" s="67">
        <v>1</v>
      </c>
      <c r="H183" s="67">
        <v>1</v>
      </c>
      <c r="I183" s="67">
        <f t="shared" ref="I183" si="12">SUM(E183*F183*G183*H183)</f>
        <v>73</v>
      </c>
      <c r="J183" s="56"/>
      <c r="K183" s="148">
        <v>72.400000000000006</v>
      </c>
      <c r="L183" s="56"/>
    </row>
    <row r="184" spans="1:15" s="163" customFormat="1" x14ac:dyDescent="0.15">
      <c r="A184" s="156" t="e">
        <f>+' - état 30 - Février  06  '!#REF!</f>
        <v>#REF!</v>
      </c>
      <c r="B184" s="156" t="e">
        <f>+' - état 30 - Février  06  '!#REF!</f>
        <v>#REF!</v>
      </c>
      <c r="C184" s="66">
        <v>2</v>
      </c>
      <c r="D184" s="157" t="s">
        <v>301</v>
      </c>
      <c r="E184" s="169"/>
      <c r="F184" s="170"/>
      <c r="G184" s="170"/>
      <c r="H184" s="170"/>
      <c r="I184" s="113"/>
      <c r="J184" s="160">
        <f>SUM(I185:I201)</f>
        <v>680.49</v>
      </c>
      <c r="K184" s="161"/>
      <c r="L184" s="162">
        <f>SUM(K185:K201)</f>
        <v>724.31</v>
      </c>
      <c r="M184" s="147"/>
      <c r="N184" s="180" t="s">
        <v>479</v>
      </c>
      <c r="O184" s="147" t="s">
        <v>497</v>
      </c>
    </row>
    <row r="185" spans="1:15" x14ac:dyDescent="0.15">
      <c r="B185" s="65" t="e">
        <f>+' - état 30 - Février  06  '!#REF!</f>
        <v>#REF!</v>
      </c>
      <c r="C185" s="66"/>
      <c r="D185" s="67"/>
      <c r="E185" s="68">
        <v>1</v>
      </c>
      <c r="F185" s="67">
        <v>3.72</v>
      </c>
      <c r="G185" s="67">
        <v>1</v>
      </c>
      <c r="H185" s="67">
        <v>1</v>
      </c>
      <c r="I185" s="67">
        <f t="shared" ref="I185:I201" si="13">SUM(E185*F185*G185*H185)</f>
        <v>3.72</v>
      </c>
      <c r="J185" s="56"/>
      <c r="K185" s="148">
        <f>4.6+2.25+2.28</f>
        <v>9.1300000000000008</v>
      </c>
      <c r="L185" s="171"/>
    </row>
    <row r="186" spans="1:15" x14ac:dyDescent="0.15">
      <c r="B186" s="65" t="e">
        <f>+' - état 30 - Février  06  '!#REF!</f>
        <v>#REF!</v>
      </c>
      <c r="C186" s="66"/>
      <c r="D186" s="67"/>
      <c r="E186" s="68">
        <v>1</v>
      </c>
      <c r="F186" s="67">
        <v>13.92</v>
      </c>
      <c r="G186" s="67">
        <v>1</v>
      </c>
      <c r="H186" s="67">
        <v>1</v>
      </c>
      <c r="I186" s="67">
        <f t="shared" si="13"/>
        <v>13.92</v>
      </c>
      <c r="J186" s="56"/>
      <c r="K186" s="148">
        <v>14.04</v>
      </c>
      <c r="L186" s="171"/>
    </row>
    <row r="187" spans="1:15" x14ac:dyDescent="0.15">
      <c r="B187" s="65" t="e">
        <f>+' - état 30 - Février  06  '!#REF!</f>
        <v>#REF!</v>
      </c>
      <c r="C187" s="66"/>
      <c r="D187" s="67"/>
      <c r="E187" s="68">
        <v>1</v>
      </c>
      <c r="F187" s="67">
        <v>11.17</v>
      </c>
      <c r="G187" s="67">
        <v>1</v>
      </c>
      <c r="H187" s="67">
        <v>1</v>
      </c>
      <c r="I187" s="67">
        <f t="shared" si="13"/>
        <v>11.17</v>
      </c>
      <c r="J187" s="56"/>
      <c r="K187" s="148">
        <v>15.34</v>
      </c>
      <c r="L187" s="171"/>
    </row>
    <row r="188" spans="1:15" x14ac:dyDescent="0.15">
      <c r="B188" s="65" t="e">
        <f>+' - état 30 - Février  06  '!#REF!</f>
        <v>#REF!</v>
      </c>
      <c r="C188" s="66"/>
      <c r="D188" s="67"/>
      <c r="E188" s="68">
        <v>1</v>
      </c>
      <c r="F188" s="67">
        <v>8.76</v>
      </c>
      <c r="G188" s="67">
        <v>1</v>
      </c>
      <c r="H188" s="67">
        <v>1</v>
      </c>
      <c r="I188" s="67">
        <f t="shared" si="13"/>
        <v>8.76</v>
      </c>
      <c r="J188" s="56"/>
      <c r="K188" s="148">
        <v>3.92</v>
      </c>
      <c r="L188" s="171"/>
    </row>
    <row r="189" spans="1:15" x14ac:dyDescent="0.15">
      <c r="B189" s="65" t="e">
        <f>+' - état 30 - Février  06  '!#REF!</f>
        <v>#REF!</v>
      </c>
      <c r="C189" s="66"/>
      <c r="D189" s="67"/>
      <c r="E189" s="68">
        <v>1</v>
      </c>
      <c r="F189" s="67">
        <v>5.86</v>
      </c>
      <c r="G189" s="67">
        <v>1</v>
      </c>
      <c r="H189" s="67">
        <v>1</v>
      </c>
      <c r="I189" s="67">
        <f t="shared" si="13"/>
        <v>5.86</v>
      </c>
      <c r="J189" s="56"/>
      <c r="L189" s="171"/>
    </row>
    <row r="190" spans="1:15" x14ac:dyDescent="0.15">
      <c r="B190" s="65" t="e">
        <f>+' - état 30 - Février  06  '!#REF!</f>
        <v>#REF!</v>
      </c>
      <c r="C190" s="66"/>
      <c r="D190" s="67"/>
      <c r="E190" s="68">
        <v>2</v>
      </c>
      <c r="F190" s="67">
        <v>47.36</v>
      </c>
      <c r="G190" s="67">
        <v>1</v>
      </c>
      <c r="H190" s="67">
        <v>1</v>
      </c>
      <c r="I190" s="67">
        <f t="shared" si="13"/>
        <v>94.72</v>
      </c>
      <c r="J190" s="56"/>
      <c r="L190" s="171"/>
    </row>
    <row r="191" spans="1:15" x14ac:dyDescent="0.15">
      <c r="B191" s="65" t="e">
        <f>+' - état 30 - Février  06  '!#REF!</f>
        <v>#REF!</v>
      </c>
      <c r="C191" s="66"/>
      <c r="D191" s="67"/>
      <c r="E191" s="68">
        <v>1</v>
      </c>
      <c r="F191" s="67">
        <v>28.66</v>
      </c>
      <c r="G191" s="67">
        <v>1</v>
      </c>
      <c r="H191" s="67">
        <v>1</v>
      </c>
      <c r="I191" s="67">
        <f t="shared" si="13"/>
        <v>28.66</v>
      </c>
      <c r="J191" s="56"/>
      <c r="K191" s="148">
        <v>28.6</v>
      </c>
      <c r="L191" s="171"/>
    </row>
    <row r="192" spans="1:15" x14ac:dyDescent="0.15">
      <c r="B192" s="65" t="e">
        <f>+' - état 30 - Février  06  '!#REF!</f>
        <v>#REF!</v>
      </c>
      <c r="C192" s="66"/>
      <c r="D192" s="67"/>
      <c r="E192" s="68">
        <v>1</v>
      </c>
      <c r="F192" s="67">
        <v>30.5</v>
      </c>
      <c r="G192" s="67">
        <v>1</v>
      </c>
      <c r="H192" s="67">
        <v>1</v>
      </c>
      <c r="I192" s="67">
        <f t="shared" si="13"/>
        <v>30.5</v>
      </c>
      <c r="J192" s="56"/>
      <c r="K192" s="148">
        <v>30.5</v>
      </c>
      <c r="L192" s="171"/>
    </row>
    <row r="193" spans="1:15" x14ac:dyDescent="0.15">
      <c r="B193" s="65" t="e">
        <f>+' - état 30 - Février  06  '!#REF!</f>
        <v>#REF!</v>
      </c>
      <c r="C193" s="66"/>
      <c r="D193" s="67"/>
      <c r="E193" s="68">
        <v>1</v>
      </c>
      <c r="F193" s="67">
        <v>23.53</v>
      </c>
      <c r="G193" s="67">
        <v>1</v>
      </c>
      <c r="H193" s="67">
        <v>1</v>
      </c>
      <c r="I193" s="67">
        <f t="shared" si="13"/>
        <v>23.53</v>
      </c>
      <c r="J193" s="56"/>
      <c r="K193" s="148">
        <v>23.48</v>
      </c>
      <c r="L193" s="171"/>
    </row>
    <row r="194" spans="1:15" x14ac:dyDescent="0.15">
      <c r="B194" s="65" t="e">
        <f>+' - état 30 - Février  06  '!#REF!</f>
        <v>#REF!</v>
      </c>
      <c r="C194" s="66"/>
      <c r="D194" s="67"/>
      <c r="E194" s="68">
        <v>1</v>
      </c>
      <c r="F194" s="67">
        <v>9</v>
      </c>
      <c r="G194" s="67">
        <v>1</v>
      </c>
      <c r="H194" s="67">
        <v>1</v>
      </c>
      <c r="I194" s="67">
        <f t="shared" si="13"/>
        <v>9</v>
      </c>
      <c r="J194" s="56"/>
      <c r="L194" s="171"/>
    </row>
    <row r="195" spans="1:15" x14ac:dyDescent="0.15">
      <c r="B195" s="65" t="e">
        <f>+' - état 30 - Février  06  '!#REF!</f>
        <v>#REF!</v>
      </c>
      <c r="C195" s="66"/>
      <c r="D195" s="67"/>
      <c r="E195" s="68">
        <v>1</v>
      </c>
      <c r="F195" s="67">
        <v>72.92</v>
      </c>
      <c r="G195" s="67">
        <v>1</v>
      </c>
      <c r="H195" s="67">
        <v>1</v>
      </c>
      <c r="I195" s="67">
        <f t="shared" si="13"/>
        <v>72.92</v>
      </c>
      <c r="J195" s="56"/>
      <c r="K195" s="148">
        <f>17.57+18.36+18.17+16.81</f>
        <v>70.91</v>
      </c>
      <c r="L195" s="171"/>
    </row>
    <row r="196" spans="1:15" x14ac:dyDescent="0.15">
      <c r="B196" s="65" t="e">
        <f>+' - état 30 - Février  06  '!#REF!</f>
        <v>#REF!</v>
      </c>
      <c r="C196" s="66"/>
      <c r="D196" s="67"/>
      <c r="E196" s="68">
        <v>4</v>
      </c>
      <c r="F196" s="67">
        <v>9.5</v>
      </c>
      <c r="G196" s="67">
        <v>1</v>
      </c>
      <c r="H196" s="67">
        <v>1</v>
      </c>
      <c r="I196" s="67">
        <f t="shared" si="13"/>
        <v>38</v>
      </c>
      <c r="J196" s="56"/>
      <c r="K196" s="148">
        <f>77.91+18.38+8.53+8.55</f>
        <v>113.37</v>
      </c>
      <c r="L196" s="171"/>
    </row>
    <row r="197" spans="1:15" x14ac:dyDescent="0.15">
      <c r="B197" s="65" t="e">
        <f>+' - état 30 - Février  06  '!#REF!</f>
        <v>#REF!</v>
      </c>
      <c r="C197" s="66"/>
      <c r="D197" s="67"/>
      <c r="E197" s="68">
        <v>1</v>
      </c>
      <c r="F197" s="67">
        <v>225.7</v>
      </c>
      <c r="G197" s="67">
        <v>1</v>
      </c>
      <c r="H197" s="67">
        <v>1</v>
      </c>
      <c r="I197" s="67">
        <f t="shared" si="13"/>
        <v>225.7</v>
      </c>
      <c r="J197" s="56"/>
      <c r="K197" s="148">
        <f>199.88+26.58+33.91+22.37+50.98</f>
        <v>333.72</v>
      </c>
      <c r="L197" s="171"/>
    </row>
    <row r="198" spans="1:15" x14ac:dyDescent="0.15">
      <c r="B198" s="65" t="e">
        <f>+' - état 30 - Février  06  '!#REF!</f>
        <v>#REF!</v>
      </c>
      <c r="C198" s="66"/>
      <c r="D198" s="67"/>
      <c r="E198" s="68">
        <v>1</v>
      </c>
      <c r="F198" s="67">
        <v>22.8</v>
      </c>
      <c r="G198" s="67">
        <v>1</v>
      </c>
      <c r="H198" s="67">
        <v>1</v>
      </c>
      <c r="I198" s="67">
        <f t="shared" si="13"/>
        <v>22.8</v>
      </c>
      <c r="J198" s="56"/>
      <c r="K198" s="148">
        <f>16.64+7.5</f>
        <v>24.14</v>
      </c>
      <c r="L198" s="171"/>
    </row>
    <row r="199" spans="1:15" x14ac:dyDescent="0.15">
      <c r="B199" s="65" t="e">
        <f>+' - état 30 - Février  06  '!#REF!</f>
        <v>#REF!</v>
      </c>
      <c r="C199" s="66"/>
      <c r="D199" s="67"/>
      <c r="E199" s="68">
        <v>1</v>
      </c>
      <c r="F199" s="67">
        <v>28.86</v>
      </c>
      <c r="G199" s="67">
        <v>1</v>
      </c>
      <c r="H199" s="67">
        <v>1</v>
      </c>
      <c r="I199" s="67">
        <f t="shared" si="13"/>
        <v>28.86</v>
      </c>
      <c r="J199" s="56"/>
      <c r="L199" s="171"/>
    </row>
    <row r="200" spans="1:15" x14ac:dyDescent="0.15">
      <c r="B200" s="65" t="e">
        <f>+' - état 30 - Février  06  '!#REF!</f>
        <v>#REF!</v>
      </c>
      <c r="C200" s="66"/>
      <c r="D200" s="67"/>
      <c r="E200" s="68">
        <v>1</v>
      </c>
      <c r="F200" s="67">
        <v>57.37</v>
      </c>
      <c r="G200" s="67">
        <v>1</v>
      </c>
      <c r="H200" s="67">
        <v>1</v>
      </c>
      <c r="I200" s="67">
        <f t="shared" si="13"/>
        <v>57.37</v>
      </c>
      <c r="J200" s="56"/>
      <c r="K200" s="148">
        <v>57.16</v>
      </c>
      <c r="L200" s="171"/>
    </row>
    <row r="201" spans="1:15" x14ac:dyDescent="0.15">
      <c r="B201" s="65" t="e">
        <f>+' - état 30 - Février  06  '!#REF!</f>
        <v>#REF!</v>
      </c>
      <c r="C201" s="66"/>
      <c r="D201" s="67"/>
      <c r="E201" s="68">
        <v>1</v>
      </c>
      <c r="F201" s="67">
        <v>5</v>
      </c>
      <c r="G201" s="67">
        <v>1</v>
      </c>
      <c r="H201" s="67">
        <v>1</v>
      </c>
      <c r="I201" s="67">
        <f t="shared" si="13"/>
        <v>5</v>
      </c>
      <c r="J201" s="56"/>
      <c r="L201" s="171"/>
    </row>
    <row r="202" spans="1:15" s="163" customFormat="1" x14ac:dyDescent="0.15">
      <c r="A202" s="156" t="e">
        <f>+' - état 30 - Février  06  '!#REF!</f>
        <v>#REF!</v>
      </c>
      <c r="B202" s="156" t="e">
        <f>+' - état 30 - Février  06  '!#REF!</f>
        <v>#REF!</v>
      </c>
      <c r="C202" s="66">
        <v>2</v>
      </c>
      <c r="D202" s="157" t="s">
        <v>301</v>
      </c>
      <c r="E202" s="169"/>
      <c r="F202" s="170"/>
      <c r="G202" s="170"/>
      <c r="H202" s="170"/>
      <c r="I202" s="113"/>
      <c r="J202" s="160">
        <f>SUM(I203:I207)</f>
        <v>21.75</v>
      </c>
      <c r="K202" s="161"/>
      <c r="L202" s="162"/>
      <c r="M202" s="147"/>
      <c r="N202" s="180" t="s">
        <v>479</v>
      </c>
      <c r="O202" s="147" t="s">
        <v>497</v>
      </c>
    </row>
    <row r="203" spans="1:15" x14ac:dyDescent="0.15">
      <c r="B203" s="65" t="e">
        <f>+' - état 30 - Février  06  '!#REF!</f>
        <v>#REF!</v>
      </c>
      <c r="C203" s="66"/>
      <c r="D203" s="67"/>
      <c r="E203" s="68">
        <v>1</v>
      </c>
      <c r="F203" s="67">
        <v>3</v>
      </c>
      <c r="G203" s="67">
        <v>1</v>
      </c>
      <c r="H203" s="67">
        <v>1</v>
      </c>
      <c r="I203" s="67">
        <f>SUM(E203*F203*G203*H203)</f>
        <v>3</v>
      </c>
      <c r="J203" s="56"/>
      <c r="L203" s="171"/>
    </row>
    <row r="204" spans="1:15" x14ac:dyDescent="0.15">
      <c r="B204" s="65" t="e">
        <f>+' - état 30 - Février  06  '!#REF!</f>
        <v>#REF!</v>
      </c>
      <c r="C204" s="66"/>
      <c r="D204" s="67"/>
      <c r="E204" s="68">
        <v>2</v>
      </c>
      <c r="F204" s="67">
        <v>2.4</v>
      </c>
      <c r="G204" s="67">
        <v>1</v>
      </c>
      <c r="H204" s="67">
        <v>1</v>
      </c>
      <c r="I204" s="67">
        <f>SUM(E204*F204*G204*H204)</f>
        <v>4.8</v>
      </c>
      <c r="J204" s="56"/>
      <c r="L204" s="171"/>
    </row>
    <row r="205" spans="1:15" x14ac:dyDescent="0.15">
      <c r="B205" s="65" t="e">
        <f>+' - état 30 - Février  06  '!#REF!</f>
        <v>#REF!</v>
      </c>
      <c r="C205" s="66"/>
      <c r="D205" s="67"/>
      <c r="E205" s="68">
        <v>1</v>
      </c>
      <c r="F205" s="67">
        <v>2.8</v>
      </c>
      <c r="G205" s="67">
        <v>1</v>
      </c>
      <c r="H205" s="67">
        <v>1</v>
      </c>
      <c r="I205" s="67">
        <f>SUM(E205*F205*G205*H205)</f>
        <v>2.8</v>
      </c>
      <c r="J205" s="56"/>
      <c r="L205" s="171"/>
    </row>
    <row r="206" spans="1:15" x14ac:dyDescent="0.15">
      <c r="B206" s="65" t="e">
        <f>+' - état 30 - Février  06  '!#REF!</f>
        <v>#REF!</v>
      </c>
      <c r="C206" s="66"/>
      <c r="D206" s="67"/>
      <c r="E206" s="68">
        <v>1</v>
      </c>
      <c r="F206" s="67">
        <v>8.65</v>
      </c>
      <c r="G206" s="67">
        <v>1</v>
      </c>
      <c r="H206" s="67">
        <v>1</v>
      </c>
      <c r="I206" s="67">
        <f>SUM(E206*F206*G206*H206)</f>
        <v>8.65</v>
      </c>
      <c r="J206" s="56"/>
      <c r="L206" s="171"/>
    </row>
    <row r="207" spans="1:15" x14ac:dyDescent="0.15">
      <c r="B207" s="65" t="e">
        <f>+' - état 30 - Février  06  '!#REF!</f>
        <v>#REF!</v>
      </c>
      <c r="C207" s="66"/>
      <c r="D207" s="67"/>
      <c r="E207" s="68">
        <v>1</v>
      </c>
      <c r="F207" s="67">
        <v>2.5</v>
      </c>
      <c r="G207" s="67">
        <v>1</v>
      </c>
      <c r="H207" s="67">
        <v>1</v>
      </c>
      <c r="I207" s="67">
        <f>SUM(E207*F207*G207*H207)</f>
        <v>2.5</v>
      </c>
      <c r="J207" s="56"/>
      <c r="L207" s="171"/>
    </row>
    <row r="211" spans="1:12" s="163" customFormat="1" x14ac:dyDescent="0.15">
      <c r="A211" s="156" t="str">
        <f>+' - état 30 - Février  06  '!A163</f>
        <v>1.23.1</v>
      </c>
      <c r="B211" s="156" t="str">
        <f>+' - état 30 - Février  06  '!B163</f>
        <v>Maçonnerie portante et non portante bloc béton 14 cm</v>
      </c>
      <c r="C211" s="66">
        <v>1</v>
      </c>
      <c r="D211" s="157" t="s">
        <v>298</v>
      </c>
      <c r="E211" s="169"/>
      <c r="F211" s="170"/>
      <c r="G211" s="170"/>
      <c r="H211" s="170"/>
      <c r="I211" s="113"/>
      <c r="J211" s="160">
        <f>SUM(I212:I218)</f>
        <v>24.41</v>
      </c>
      <c r="K211" s="161"/>
      <c r="L211" s="162">
        <f>SUM(K212:K218)</f>
        <v>24.24</v>
      </c>
    </row>
    <row r="212" spans="1:12" x14ac:dyDescent="0.15">
      <c r="B212" s="65" t="str">
        <f>+' - état 30 - Février  06  '!B164</f>
        <v>murs entre salle commune et logt 11 (de niv. -0.97 à + 2.31)</v>
      </c>
      <c r="C212" s="66"/>
      <c r="D212" s="67"/>
      <c r="E212" s="68">
        <v>1</v>
      </c>
      <c r="F212" s="67">
        <v>13.3</v>
      </c>
      <c r="G212" s="67">
        <v>0.14000000000000001</v>
      </c>
      <c r="H212" s="67">
        <v>3.28</v>
      </c>
      <c r="I212" s="67">
        <f t="shared" ref="I212:I218" si="14">SUM(E212*F212*G212*H212)</f>
        <v>6.11</v>
      </c>
      <c r="J212" s="56"/>
      <c r="K212" s="148">
        <f>13.27*0.14*3.28</f>
        <v>6.09</v>
      </c>
      <c r="L212" s="171"/>
    </row>
    <row r="213" spans="1:12" x14ac:dyDescent="0.15">
      <c r="B213" s="65" t="str">
        <f>+' - état 30 - Février  06  '!B165</f>
        <v>murs entre salle commune et logt 12 (de niv. -0.97 à + 2.31)</v>
      </c>
      <c r="C213" s="66"/>
      <c r="D213" s="67"/>
      <c r="E213" s="68">
        <v>1</v>
      </c>
      <c r="F213" s="67">
        <v>6.75</v>
      </c>
      <c r="G213" s="67">
        <v>0.14000000000000001</v>
      </c>
      <c r="H213" s="67">
        <v>3.28</v>
      </c>
      <c r="I213" s="67">
        <f t="shared" si="14"/>
        <v>3.1</v>
      </c>
      <c r="J213" s="56"/>
      <c r="K213" s="148">
        <f>6.87*0.14*3.28</f>
        <v>3.15</v>
      </c>
      <c r="L213" s="171"/>
    </row>
    <row r="214" spans="1:12" x14ac:dyDescent="0.15">
      <c r="B214" s="65" t="str">
        <f>+' - état 30 - Février  06  '!B166</f>
        <v>murs salle commune refend 2 (de niv. -0.97 à + 4.06)</v>
      </c>
      <c r="C214" s="66"/>
      <c r="D214" s="67"/>
      <c r="E214" s="68">
        <v>1</v>
      </c>
      <c r="F214" s="67">
        <v>1.8</v>
      </c>
      <c r="G214" s="67">
        <v>0.14000000000000001</v>
      </c>
      <c r="H214" s="67">
        <v>5.03</v>
      </c>
      <c r="I214" s="67">
        <f t="shared" si="14"/>
        <v>1.27</v>
      </c>
      <c r="J214" s="56"/>
      <c r="K214" s="148">
        <f>1.8*0.14*5.05</f>
        <v>1.27</v>
      </c>
      <c r="L214" s="171"/>
    </row>
    <row r="215" spans="1:12" x14ac:dyDescent="0.15">
      <c r="B215" s="65" t="str">
        <f>+' - état 30 - Février  06  '!B167</f>
        <v>murs mitoyen lot 7 et lot 8 dans passage</v>
      </c>
      <c r="C215" s="66"/>
      <c r="D215" s="67"/>
      <c r="E215" s="68">
        <v>2</v>
      </c>
      <c r="F215" s="67">
        <v>6.32</v>
      </c>
      <c r="G215" s="67">
        <v>0.14000000000000001</v>
      </c>
      <c r="H215" s="67">
        <v>2.82</v>
      </c>
      <c r="I215" s="67">
        <f t="shared" si="14"/>
        <v>4.99</v>
      </c>
      <c r="J215" s="56"/>
      <c r="K215" s="148">
        <f>2*6.32*0.14*2.72</f>
        <v>4.8099999999999996</v>
      </c>
      <c r="L215" s="171"/>
    </row>
    <row r="216" spans="1:12" x14ac:dyDescent="0.15">
      <c r="B216" s="65" t="str">
        <f>+' - état 30 - Février  06  '!B168</f>
        <v>murs mitoyen entre loc tech et lot 1</v>
      </c>
      <c r="C216" s="66"/>
      <c r="D216" s="67"/>
      <c r="E216" s="68">
        <v>2</v>
      </c>
      <c r="F216" s="67">
        <v>5.66</v>
      </c>
      <c r="G216" s="67">
        <v>0.14000000000000001</v>
      </c>
      <c r="H216" s="67">
        <v>3</v>
      </c>
      <c r="I216" s="67">
        <f t="shared" si="14"/>
        <v>4.75</v>
      </c>
      <c r="J216" s="56"/>
      <c r="K216" s="148">
        <f>2*5.66*0.14*3</f>
        <v>4.75</v>
      </c>
      <c r="L216" s="171"/>
    </row>
    <row r="217" spans="1:12" x14ac:dyDescent="0.15">
      <c r="B217" s="65" t="str">
        <f>+' - état 30 - Février  06  '!B169</f>
        <v xml:space="preserve">murs dans loc tech </v>
      </c>
      <c r="C217" s="66"/>
      <c r="D217" s="67"/>
      <c r="E217" s="68">
        <v>1</v>
      </c>
      <c r="F217" s="67">
        <v>5.66</v>
      </c>
      <c r="G217" s="67">
        <v>0.14000000000000001</v>
      </c>
      <c r="H217" s="67">
        <v>3</v>
      </c>
      <c r="I217" s="67">
        <f t="shared" si="14"/>
        <v>2.38</v>
      </c>
      <c r="J217" s="56"/>
      <c r="K217" s="148">
        <f>5.66*0.14*3</f>
        <v>2.38</v>
      </c>
      <c r="L217" s="171"/>
    </row>
    <row r="218" spans="1:12" x14ac:dyDescent="0.15">
      <c r="B218" s="65" t="str">
        <f>+' - état 30 - Février  06  '!B170</f>
        <v xml:space="preserve">murs dans loc tech </v>
      </c>
      <c r="C218" s="66"/>
      <c r="D218" s="67"/>
      <c r="E218" s="68">
        <v>1</v>
      </c>
      <c r="F218" s="67">
        <v>4.3</v>
      </c>
      <c r="G218" s="67">
        <v>0.14000000000000001</v>
      </c>
      <c r="H218" s="67">
        <v>3</v>
      </c>
      <c r="I218" s="67">
        <f t="shared" si="14"/>
        <v>1.81</v>
      </c>
      <c r="J218" s="56"/>
      <c r="K218" s="148">
        <f>4.26*0.14*3</f>
        <v>1.79</v>
      </c>
      <c r="L218" s="171"/>
    </row>
    <row r="219" spans="1:12" s="163" customFormat="1" x14ac:dyDescent="0.15">
      <c r="A219" s="156" t="str">
        <f>+' - état 30 - Février  06  '!A212</f>
        <v>1.27.9</v>
      </c>
      <c r="B219" s="156" t="str">
        <f>+' - état 30 - Février  06  '!B212</f>
        <v>plancher poutrain/claveau</v>
      </c>
      <c r="C219" s="66">
        <v>1</v>
      </c>
      <c r="D219" s="157" t="s">
        <v>300</v>
      </c>
      <c r="E219" s="169"/>
      <c r="F219" s="170"/>
      <c r="G219" s="170"/>
      <c r="H219" s="170"/>
      <c r="I219" s="113"/>
      <c r="J219" s="160">
        <f>SUM(I220:I223)</f>
        <v>207</v>
      </c>
      <c r="K219" s="161"/>
      <c r="L219" s="162">
        <f>SUM(K220:K223)</f>
        <v>206.14</v>
      </c>
    </row>
    <row r="220" spans="1:12" x14ac:dyDescent="0.15">
      <c r="B220" s="65" t="str">
        <f>+' - état 30 - Février  06  '!B213</f>
        <v>locaux techniques et logt 1</v>
      </c>
      <c r="C220" s="66"/>
      <c r="D220" s="67"/>
      <c r="E220" s="68">
        <v>1</v>
      </c>
      <c r="F220" s="67">
        <v>65</v>
      </c>
      <c r="G220" s="67">
        <v>1</v>
      </c>
      <c r="H220" s="67">
        <v>1</v>
      </c>
      <c r="I220" s="67">
        <f t="shared" ref="I220:I223" si="15">SUM(E220*F220*G220*H220)</f>
        <v>65</v>
      </c>
      <c r="J220" s="56"/>
      <c r="K220" s="148">
        <v>65</v>
      </c>
      <c r="L220" s="171"/>
    </row>
    <row r="221" spans="1:12" x14ac:dyDescent="0.15">
      <c r="B221" s="65" t="str">
        <f>+' - état 30 - Février  06  '!B214</f>
        <v>déduction trémie lot 1</v>
      </c>
      <c r="C221" s="66"/>
      <c r="D221" s="67"/>
      <c r="E221" s="68">
        <v>-1</v>
      </c>
      <c r="F221" s="67">
        <v>2.8</v>
      </c>
      <c r="G221" s="67">
        <v>1</v>
      </c>
      <c r="H221" s="67">
        <v>1</v>
      </c>
      <c r="I221" s="67">
        <f t="shared" si="15"/>
        <v>-2.8</v>
      </c>
      <c r="J221" s="56"/>
      <c r="K221" s="148">
        <v>-3.91</v>
      </c>
      <c r="L221" s="171"/>
    </row>
    <row r="222" spans="1:12" x14ac:dyDescent="0.15">
      <c r="B222" s="65" t="str">
        <f>+' - état 30 - Février  06  '!B215</f>
        <v>salle commune (dont hall logt 12)</v>
      </c>
      <c r="C222" s="66"/>
      <c r="D222" s="67"/>
      <c r="E222" s="68">
        <v>1</v>
      </c>
      <c r="F222" s="67">
        <v>152</v>
      </c>
      <c r="G222" s="67">
        <v>1</v>
      </c>
      <c r="H222" s="67">
        <v>1</v>
      </c>
      <c r="I222" s="67">
        <f t="shared" si="15"/>
        <v>152</v>
      </c>
      <c r="J222" s="56"/>
      <c r="K222" s="148">
        <v>151.21</v>
      </c>
      <c r="L222" s="171"/>
    </row>
    <row r="223" spans="1:12" x14ac:dyDescent="0.15">
      <c r="B223" s="65" t="str">
        <f>+' - état 30 - Février  06  '!B216</f>
        <v>déduction trémie lot 12</v>
      </c>
      <c r="C223" s="66"/>
      <c r="D223" s="67"/>
      <c r="E223" s="68">
        <v>-1</v>
      </c>
      <c r="F223" s="67">
        <v>7.2</v>
      </c>
      <c r="G223" s="67">
        <v>1</v>
      </c>
      <c r="H223" s="67">
        <v>1</v>
      </c>
      <c r="I223" s="67">
        <f t="shared" si="15"/>
        <v>-7.2</v>
      </c>
      <c r="J223" s="56"/>
      <c r="K223" s="148">
        <f>-5.67-0.49</f>
        <v>-6.16</v>
      </c>
      <c r="L223" s="171"/>
    </row>
  </sheetData>
  <phoneticPr fontId="5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B2CB-8E73-4B0B-8916-8A867FB78A59}">
  <dimension ref="A2:AS192"/>
  <sheetViews>
    <sheetView topLeftCell="A160" zoomScale="98" zoomScaleNormal="98" workbookViewId="0">
      <selection activeCell="B179" sqref="B179"/>
    </sheetView>
  </sheetViews>
  <sheetFormatPr baseColWidth="10" defaultRowHeight="13" x14ac:dyDescent="0.15"/>
  <cols>
    <col min="2" max="2" width="66" customWidth="1"/>
    <col min="12" max="12" width="13" bestFit="1" customWidth="1"/>
    <col min="13" max="13" width="23.1640625" style="116" customWidth="1"/>
    <col min="15" max="15" width="5.6640625" bestFit="1" customWidth="1"/>
    <col min="16" max="16" width="7.6640625" style="116" bestFit="1" customWidth="1"/>
    <col min="17" max="17" width="7.6640625" style="114" bestFit="1" customWidth="1"/>
    <col min="18" max="18" width="7.5" style="114" customWidth="1"/>
    <col min="19" max="19" width="7.6640625" style="116" bestFit="1" customWidth="1"/>
    <col min="20" max="20" width="5.83203125" bestFit="1" customWidth="1"/>
    <col min="21" max="21" width="8.1640625" bestFit="1" customWidth="1"/>
    <col min="22" max="22" width="14.33203125" bestFit="1" customWidth="1"/>
    <col min="23" max="23" width="41" bestFit="1" customWidth="1"/>
  </cols>
  <sheetData>
    <row r="2" spans="1:23" s="25" customFormat="1" ht="43" thickBot="1" x14ac:dyDescent="0.2">
      <c r="A2" s="46" t="s">
        <v>311</v>
      </c>
      <c r="B2" s="47"/>
      <c r="C2" s="78"/>
      <c r="D2" s="79"/>
      <c r="E2" s="51"/>
      <c r="F2" s="51"/>
      <c r="G2" s="51"/>
      <c r="H2" s="51"/>
      <c r="I2" s="51"/>
      <c r="J2" s="8"/>
      <c r="K2" s="8"/>
      <c r="L2" s="104"/>
      <c r="M2" s="273" t="s">
        <v>499</v>
      </c>
      <c r="N2"/>
      <c r="O2" s="216" t="s">
        <v>511</v>
      </c>
      <c r="P2" s="453" t="s">
        <v>512</v>
      </c>
      <c r="Q2" s="377" t="s">
        <v>513</v>
      </c>
      <c r="R2" s="493" t="s">
        <v>514</v>
      </c>
      <c r="S2" s="506" t="s">
        <v>515</v>
      </c>
      <c r="T2" s="216" t="s">
        <v>516</v>
      </c>
      <c r="U2" s="216" t="s">
        <v>509</v>
      </c>
      <c r="V2" s="186" t="s">
        <v>510</v>
      </c>
      <c r="W2" s="11"/>
    </row>
    <row r="3" spans="1:23" x14ac:dyDescent="0.15">
      <c r="O3" s="197"/>
      <c r="P3" s="442"/>
      <c r="Q3" s="238"/>
      <c r="R3" s="238"/>
      <c r="S3" s="234"/>
      <c r="T3" s="197"/>
      <c r="U3" s="207"/>
      <c r="V3" s="189"/>
      <c r="W3" s="11"/>
    </row>
    <row r="4" spans="1:23" s="30" customFormat="1" ht="14" x14ac:dyDescent="0.15">
      <c r="A4" s="65" t="s">
        <v>318</v>
      </c>
      <c r="B4" s="84" t="s">
        <v>315</v>
      </c>
      <c r="C4" s="27"/>
      <c r="D4" s="113" t="s">
        <v>304</v>
      </c>
      <c r="E4" s="92"/>
      <c r="F4" s="92"/>
      <c r="G4" s="92"/>
      <c r="H4" s="92"/>
      <c r="I4" s="92"/>
      <c r="J4" s="94">
        <f>SUM(I5:I7)</f>
        <v>7.82</v>
      </c>
      <c r="K4" s="28">
        <v>313.76</v>
      </c>
      <c r="L4" s="73">
        <f>SUM(J4*K4)</f>
        <v>2453.6</v>
      </c>
      <c r="M4" s="115"/>
      <c r="N4" s="39"/>
      <c r="O4" s="197">
        <v>0.05</v>
      </c>
      <c r="P4" s="436">
        <v>0.05</v>
      </c>
      <c r="Q4" s="238"/>
      <c r="R4" s="238"/>
      <c r="S4" s="234">
        <v>0.9</v>
      </c>
      <c r="T4" s="197"/>
      <c r="U4" s="207">
        <f>SUM(O4:T4)</f>
        <v>1</v>
      </c>
      <c r="V4" s="212">
        <f>U4*L4</f>
        <v>2453.6</v>
      </c>
      <c r="W4" s="11"/>
    </row>
    <row r="5" spans="1:23" x14ac:dyDescent="0.15">
      <c r="B5" t="s">
        <v>312</v>
      </c>
      <c r="E5" s="68">
        <v>1</v>
      </c>
      <c r="F5" s="67">
        <v>5.66</v>
      </c>
      <c r="G5" s="67">
        <v>0.3</v>
      </c>
      <c r="H5" s="67">
        <v>0.3</v>
      </c>
      <c r="I5" s="67">
        <f t="shared" ref="I5" si="0">SUM(E5*F5*G5*H5)</f>
        <v>0.51</v>
      </c>
      <c r="O5" s="197"/>
      <c r="P5" s="436"/>
      <c r="Q5" s="238"/>
      <c r="R5" s="238"/>
      <c r="S5" s="234"/>
      <c r="T5" s="197"/>
      <c r="U5" s="207"/>
      <c r="V5" s="189"/>
      <c r="W5" s="11"/>
    </row>
    <row r="6" spans="1:23" x14ac:dyDescent="0.15">
      <c r="B6" t="s">
        <v>313</v>
      </c>
      <c r="E6" s="112">
        <v>2</v>
      </c>
      <c r="F6" s="75">
        <v>5.35</v>
      </c>
      <c r="G6" s="67">
        <v>0.45</v>
      </c>
      <c r="H6" s="67">
        <v>0.85</v>
      </c>
      <c r="I6" s="67">
        <f t="shared" ref="I6:I7" si="1">SUM(E6*F6*G6*H6)</f>
        <v>4.09</v>
      </c>
      <c r="N6" s="291" t="s">
        <v>549</v>
      </c>
      <c r="O6" s="197"/>
      <c r="P6" s="436"/>
      <c r="Q6" s="238"/>
      <c r="R6" s="238"/>
      <c r="S6" s="234"/>
      <c r="T6" s="197"/>
      <c r="U6" s="207"/>
      <c r="V6" s="189"/>
      <c r="W6" s="11"/>
    </row>
    <row r="7" spans="1:23" x14ac:dyDescent="0.15">
      <c r="B7" t="s">
        <v>314</v>
      </c>
      <c r="E7" s="112">
        <v>2</v>
      </c>
      <c r="F7" s="75">
        <v>6.31</v>
      </c>
      <c r="G7" s="67">
        <v>0.3</v>
      </c>
      <c r="H7" s="67">
        <v>0.85</v>
      </c>
      <c r="I7" s="67">
        <f t="shared" si="1"/>
        <v>3.22</v>
      </c>
      <c r="N7" s="291" t="s">
        <v>549</v>
      </c>
      <c r="O7" s="197"/>
      <c r="P7" s="436"/>
      <c r="Q7" s="238"/>
      <c r="R7" s="238"/>
      <c r="S7" s="234"/>
      <c r="T7" s="197"/>
      <c r="U7" s="207"/>
      <c r="V7" s="212"/>
      <c r="W7" s="11"/>
    </row>
    <row r="8" spans="1:23" x14ac:dyDescent="0.15">
      <c r="B8" s="446" t="s">
        <v>529</v>
      </c>
      <c r="C8" s="446"/>
      <c r="D8" s="446"/>
      <c r="E8" s="447">
        <v>1</v>
      </c>
      <c r="F8" s="448">
        <v>5.66</v>
      </c>
      <c r="G8" s="448">
        <f>0.65-G5</f>
        <v>0.35</v>
      </c>
      <c r="H8" s="448">
        <v>0.3</v>
      </c>
      <c r="I8" s="448">
        <f t="shared" ref="I8:I10" si="2">SUM(E8*F8*G8*H8)</f>
        <v>0.59</v>
      </c>
      <c r="J8" s="449">
        <f>+I8</f>
        <v>0.59</v>
      </c>
      <c r="K8" s="450">
        <v>313.76</v>
      </c>
      <c r="L8" s="451">
        <f>SUM(J8*K8)</f>
        <v>185.12</v>
      </c>
      <c r="O8" s="197"/>
      <c r="P8" s="436">
        <v>1</v>
      </c>
      <c r="Q8" s="238"/>
      <c r="R8" s="238"/>
      <c r="S8" s="234"/>
      <c r="T8" s="197"/>
      <c r="U8" s="207">
        <f t="shared" ref="U8:U10" si="3">SUM(O8:T8)</f>
        <v>1</v>
      </c>
      <c r="V8" s="212">
        <f t="shared" ref="V8:V10" si="4">U8*L8</f>
        <v>185.12</v>
      </c>
      <c r="W8" s="445" t="s">
        <v>527</v>
      </c>
    </row>
    <row r="9" spans="1:23" x14ac:dyDescent="0.15">
      <c r="B9" s="446" t="s">
        <v>524</v>
      </c>
      <c r="C9" s="446"/>
      <c r="D9" s="446"/>
      <c r="E9" s="447">
        <v>1</v>
      </c>
      <c r="F9" s="448">
        <v>5.66</v>
      </c>
      <c r="G9" s="448">
        <v>0.3</v>
      </c>
      <c r="H9" s="448">
        <v>0.3</v>
      </c>
      <c r="I9" s="448">
        <f t="shared" si="2"/>
        <v>0.51</v>
      </c>
      <c r="J9" s="449">
        <f>+I9</f>
        <v>0.51</v>
      </c>
      <c r="K9" s="450">
        <v>313.76</v>
      </c>
      <c r="L9" s="451">
        <f t="shared" ref="L9:L10" si="5">SUM(J9*K9)</f>
        <v>160.02000000000001</v>
      </c>
      <c r="O9" s="197"/>
      <c r="P9" s="436">
        <v>1</v>
      </c>
      <c r="Q9" s="238"/>
      <c r="R9" s="238"/>
      <c r="S9" s="234"/>
      <c r="T9" s="197"/>
      <c r="U9" s="207">
        <f t="shared" si="3"/>
        <v>1</v>
      </c>
      <c r="V9" s="212">
        <f t="shared" si="4"/>
        <v>160.02000000000001</v>
      </c>
      <c r="W9" s="445" t="s">
        <v>527</v>
      </c>
    </row>
    <row r="10" spans="1:23" x14ac:dyDescent="0.15">
      <c r="B10" s="446" t="s">
        <v>525</v>
      </c>
      <c r="C10" s="446"/>
      <c r="D10" s="446"/>
      <c r="E10" s="447">
        <v>1</v>
      </c>
      <c r="F10" s="448">
        <v>4.22</v>
      </c>
      <c r="G10" s="448">
        <v>0.3</v>
      </c>
      <c r="H10" s="448">
        <v>0.3</v>
      </c>
      <c r="I10" s="448">
        <f t="shared" si="2"/>
        <v>0.38</v>
      </c>
      <c r="J10" s="449">
        <f>+I10</f>
        <v>0.38</v>
      </c>
      <c r="K10" s="450">
        <v>313.76</v>
      </c>
      <c r="L10" s="451">
        <f t="shared" si="5"/>
        <v>119.23</v>
      </c>
      <c r="O10" s="197"/>
      <c r="P10" s="436">
        <v>1</v>
      </c>
      <c r="Q10" s="238"/>
      <c r="R10" s="238"/>
      <c r="S10" s="234"/>
      <c r="T10" s="197"/>
      <c r="U10" s="207">
        <f t="shared" si="3"/>
        <v>1</v>
      </c>
      <c r="V10" s="212">
        <f t="shared" si="4"/>
        <v>119.23</v>
      </c>
      <c r="W10" s="445" t="s">
        <v>527</v>
      </c>
    </row>
    <row r="11" spans="1:23" s="30" customFormat="1" ht="14" x14ac:dyDescent="0.15">
      <c r="A11" s="65"/>
      <c r="B11" s="84" t="s">
        <v>317</v>
      </c>
      <c r="C11" s="27"/>
      <c r="D11" s="113" t="s">
        <v>297</v>
      </c>
      <c r="E11" s="92"/>
      <c r="F11" s="92"/>
      <c r="G11" s="92"/>
      <c r="H11" s="92"/>
      <c r="I11" s="92"/>
      <c r="J11" s="94">
        <f>SUM(I12:I14)</f>
        <v>52.14</v>
      </c>
      <c r="K11" s="28">
        <v>59.56</v>
      </c>
      <c r="L11" s="73">
        <f>SUM(J11*K11)</f>
        <v>3105.46</v>
      </c>
      <c r="M11" s="115"/>
      <c r="N11" s="39"/>
      <c r="O11" s="197">
        <v>0.05</v>
      </c>
      <c r="P11" s="436">
        <v>0.05</v>
      </c>
      <c r="Q11" s="238"/>
      <c r="R11" s="238"/>
      <c r="S11" s="234">
        <v>0.9</v>
      </c>
      <c r="T11" s="197"/>
      <c r="U11" s="207">
        <f>SUM(O11:T11)</f>
        <v>1</v>
      </c>
      <c r="V11" s="212">
        <f>U11*L11</f>
        <v>3105.46</v>
      </c>
      <c r="W11" s="11"/>
    </row>
    <row r="12" spans="1:23" x14ac:dyDescent="0.15">
      <c r="B12" t="s">
        <v>312</v>
      </c>
      <c r="E12" s="68">
        <v>1</v>
      </c>
      <c r="F12" s="67">
        <v>5.66</v>
      </c>
      <c r="G12" s="67">
        <v>0.3</v>
      </c>
      <c r="H12" s="67">
        <v>0.3</v>
      </c>
      <c r="I12" s="67">
        <f>SUM(E12*F12*H12)*2</f>
        <v>3.4</v>
      </c>
      <c r="O12" s="197"/>
      <c r="P12" s="436"/>
      <c r="Q12" s="238"/>
      <c r="R12" s="238"/>
      <c r="S12" s="234"/>
      <c r="T12" s="197"/>
      <c r="U12" s="207"/>
      <c r="V12" s="212"/>
      <c r="W12" s="11"/>
    </row>
    <row r="13" spans="1:23" x14ac:dyDescent="0.15">
      <c r="B13" t="s">
        <v>313</v>
      </c>
      <c r="E13" s="112">
        <v>3</v>
      </c>
      <c r="F13" s="75">
        <v>5.35</v>
      </c>
      <c r="G13" s="67">
        <v>0.45</v>
      </c>
      <c r="H13" s="67">
        <v>0.85</v>
      </c>
      <c r="I13" s="67">
        <f t="shared" ref="I13:I17" si="6">SUM(E13*F13*H13)*2</f>
        <v>27.29</v>
      </c>
      <c r="N13" s="291" t="s">
        <v>549</v>
      </c>
      <c r="O13" s="197"/>
      <c r="P13" s="436"/>
      <c r="Q13" s="238"/>
      <c r="R13" s="238"/>
      <c r="S13" s="234"/>
      <c r="T13" s="197"/>
      <c r="U13" s="207"/>
      <c r="V13" s="189"/>
      <c r="W13" s="11"/>
    </row>
    <row r="14" spans="1:23" x14ac:dyDescent="0.15">
      <c r="B14" t="s">
        <v>314</v>
      </c>
      <c r="E14" s="112">
        <v>2</v>
      </c>
      <c r="F14" s="75">
        <v>6.31</v>
      </c>
      <c r="G14" s="67">
        <v>0.3</v>
      </c>
      <c r="H14" s="67">
        <v>0.85</v>
      </c>
      <c r="I14" s="67">
        <f t="shared" si="6"/>
        <v>21.45</v>
      </c>
      <c r="N14" s="291" t="s">
        <v>549</v>
      </c>
      <c r="O14" s="197"/>
      <c r="P14" s="436"/>
      <c r="Q14" s="238"/>
      <c r="R14" s="238"/>
      <c r="S14" s="234"/>
      <c r="T14" s="197"/>
      <c r="U14" s="207"/>
      <c r="V14" s="189"/>
    </row>
    <row r="15" spans="1:23" x14ac:dyDescent="0.15">
      <c r="B15" s="446" t="s">
        <v>529</v>
      </c>
      <c r="C15" s="446"/>
      <c r="D15" s="446"/>
      <c r="E15" s="447">
        <v>1</v>
      </c>
      <c r="F15" s="448">
        <v>5.66</v>
      </c>
      <c r="G15" s="448">
        <f>0.65-G12</f>
        <v>0.35</v>
      </c>
      <c r="H15" s="448">
        <v>0.3</v>
      </c>
      <c r="I15" s="448">
        <v>0</v>
      </c>
      <c r="J15" s="94"/>
      <c r="K15" s="28"/>
      <c r="L15" s="73"/>
      <c r="O15" s="197"/>
      <c r="P15" s="436"/>
      <c r="Q15" s="238"/>
      <c r="R15" s="238"/>
      <c r="S15" s="234"/>
      <c r="T15" s="197"/>
      <c r="U15" s="207"/>
      <c r="V15" s="212"/>
      <c r="W15" s="445" t="s">
        <v>530</v>
      </c>
    </row>
    <row r="16" spans="1:23" x14ac:dyDescent="0.15">
      <c r="B16" s="446" t="s">
        <v>524</v>
      </c>
      <c r="C16" s="446"/>
      <c r="D16" s="446"/>
      <c r="E16" s="447">
        <v>1</v>
      </c>
      <c r="F16" s="448">
        <v>5.66</v>
      </c>
      <c r="G16" s="448">
        <v>0.3</v>
      </c>
      <c r="H16" s="448">
        <v>0.3</v>
      </c>
      <c r="I16" s="452">
        <f t="shared" si="6"/>
        <v>3.4</v>
      </c>
      <c r="J16" s="449">
        <f>+I16</f>
        <v>3.4</v>
      </c>
      <c r="K16" s="450">
        <v>59.56</v>
      </c>
      <c r="L16" s="451">
        <f t="shared" ref="L16:L17" si="7">SUM(J16*K16)</f>
        <v>202.5</v>
      </c>
      <c r="O16" s="197"/>
      <c r="P16" s="436">
        <v>1</v>
      </c>
      <c r="Q16" s="238"/>
      <c r="R16" s="238"/>
      <c r="S16" s="234"/>
      <c r="T16" s="197"/>
      <c r="U16" s="207">
        <f t="shared" ref="U16:U17" si="8">SUM(O16:T16)</f>
        <v>1</v>
      </c>
      <c r="V16" s="212">
        <f t="shared" ref="V16:V17" si="9">U16*L16</f>
        <v>202.5</v>
      </c>
      <c r="W16" s="445" t="s">
        <v>527</v>
      </c>
    </row>
    <row r="17" spans="1:23" x14ac:dyDescent="0.15">
      <c r="B17" s="446" t="s">
        <v>525</v>
      </c>
      <c r="C17" s="446"/>
      <c r="D17" s="446"/>
      <c r="E17" s="447">
        <v>1</v>
      </c>
      <c r="F17" s="448">
        <v>4.22</v>
      </c>
      <c r="G17" s="448">
        <v>0.3</v>
      </c>
      <c r="H17" s="448">
        <v>0.3</v>
      </c>
      <c r="I17" s="452">
        <f t="shared" si="6"/>
        <v>2.5299999999999998</v>
      </c>
      <c r="J17" s="449">
        <f>+I17</f>
        <v>2.5299999999999998</v>
      </c>
      <c r="K17" s="450">
        <v>59.56</v>
      </c>
      <c r="L17" s="451">
        <f t="shared" si="7"/>
        <v>150.69</v>
      </c>
      <c r="O17" s="197"/>
      <c r="P17" s="436">
        <v>1</v>
      </c>
      <c r="Q17" s="238"/>
      <c r="R17" s="238"/>
      <c r="S17" s="234"/>
      <c r="T17" s="197"/>
      <c r="U17" s="207">
        <f t="shared" si="8"/>
        <v>1</v>
      </c>
      <c r="V17" s="212">
        <f t="shared" si="9"/>
        <v>150.69</v>
      </c>
      <c r="W17" s="445" t="s">
        <v>527</v>
      </c>
    </row>
    <row r="18" spans="1:23" s="30" customFormat="1" ht="14" x14ac:dyDescent="0.15">
      <c r="A18" s="65"/>
      <c r="B18" s="84" t="s">
        <v>323</v>
      </c>
      <c r="C18" s="27"/>
      <c r="D18" s="113" t="s">
        <v>305</v>
      </c>
      <c r="E18" s="92"/>
      <c r="F18" s="92"/>
      <c r="G18" s="92"/>
      <c r="H18" s="92"/>
      <c r="I18" s="92"/>
      <c r="J18" s="94">
        <f>SUM(I19:I21)</f>
        <v>404.6</v>
      </c>
      <c r="K18" s="28">
        <v>4.8499999999999996</v>
      </c>
      <c r="L18" s="73">
        <f>SUM(J18*K18)</f>
        <v>1962.31</v>
      </c>
      <c r="M18" s="115"/>
      <c r="N18" s="39"/>
      <c r="O18" s="197">
        <v>0.05</v>
      </c>
      <c r="P18" s="436">
        <v>0.05</v>
      </c>
      <c r="Q18" s="238"/>
      <c r="R18" s="238"/>
      <c r="S18" s="234">
        <v>0.9</v>
      </c>
      <c r="T18" s="197"/>
      <c r="U18" s="207">
        <f>SUM(O18:T18)</f>
        <v>1</v>
      </c>
      <c r="V18" s="212">
        <f>U18*L18</f>
        <v>1962.31</v>
      </c>
      <c r="W18" s="11"/>
    </row>
    <row r="19" spans="1:23" x14ac:dyDescent="0.15">
      <c r="B19" t="s">
        <v>312</v>
      </c>
      <c r="E19" s="68">
        <v>1</v>
      </c>
      <c r="F19" s="67"/>
      <c r="G19" s="67"/>
      <c r="H19" s="67">
        <f>15.3+15.3+7.1+9</f>
        <v>46.7</v>
      </c>
      <c r="I19" s="67">
        <f>SUM(E19*H19)</f>
        <v>46.7</v>
      </c>
      <c r="O19" s="197"/>
      <c r="P19" s="436"/>
      <c r="Q19" s="238"/>
      <c r="R19" s="238"/>
      <c r="S19" s="234"/>
      <c r="T19" s="197"/>
      <c r="U19" s="207"/>
      <c r="V19" s="189"/>
    </row>
    <row r="20" spans="1:23" x14ac:dyDescent="0.15">
      <c r="B20" t="s">
        <v>313</v>
      </c>
      <c r="E20" s="112">
        <v>3</v>
      </c>
      <c r="F20" s="75"/>
      <c r="G20" s="67"/>
      <c r="H20" s="67">
        <f>20.9+20.9+14.2+16.5</f>
        <v>72.5</v>
      </c>
      <c r="I20" s="67">
        <f t="shared" ref="I20:I25" si="10">SUM(E20*H20)</f>
        <v>217.5</v>
      </c>
      <c r="N20" s="291" t="s">
        <v>549</v>
      </c>
      <c r="O20" s="197"/>
      <c r="P20" s="436"/>
      <c r="Q20" s="238"/>
      <c r="R20" s="238"/>
      <c r="S20" s="234"/>
      <c r="T20" s="197"/>
      <c r="U20" s="207"/>
      <c r="V20" s="189"/>
    </row>
    <row r="21" spans="1:23" x14ac:dyDescent="0.15">
      <c r="B21" t="s">
        <v>314</v>
      </c>
      <c r="E21" s="112">
        <v>2</v>
      </c>
      <c r="F21" s="75"/>
      <c r="G21" s="67"/>
      <c r="H21" s="67">
        <f>20.9+20.9+14.2+14.2</f>
        <v>70.2</v>
      </c>
      <c r="I21" s="67">
        <f t="shared" si="10"/>
        <v>140.4</v>
      </c>
      <c r="N21" s="291" t="s">
        <v>549</v>
      </c>
      <c r="O21" s="197"/>
      <c r="P21" s="436"/>
      <c r="Q21" s="238"/>
      <c r="R21" s="238"/>
      <c r="S21" s="234"/>
      <c r="T21" s="197"/>
      <c r="U21" s="207"/>
      <c r="V21" s="189"/>
    </row>
    <row r="22" spans="1:23" x14ac:dyDescent="0.15">
      <c r="B22" s="446" t="s">
        <v>529</v>
      </c>
      <c r="C22" s="446"/>
      <c r="D22" s="446"/>
      <c r="E22" s="447">
        <v>1</v>
      </c>
      <c r="F22" s="448"/>
      <c r="G22" s="448"/>
      <c r="H22" s="448">
        <f>77.9-H19</f>
        <v>31.2</v>
      </c>
      <c r="I22" s="452">
        <f t="shared" si="10"/>
        <v>31.2</v>
      </c>
      <c r="J22" s="449">
        <f>+I22</f>
        <v>31.2</v>
      </c>
      <c r="K22" s="450">
        <v>4.8499999999999996</v>
      </c>
      <c r="L22" s="451">
        <f t="shared" ref="L22:L25" si="11">SUM(J22*K22)</f>
        <v>151.32</v>
      </c>
      <c r="O22" s="197"/>
      <c r="P22" s="436">
        <v>1</v>
      </c>
      <c r="Q22" s="238"/>
      <c r="R22" s="238"/>
      <c r="S22" s="234"/>
      <c r="T22" s="197"/>
      <c r="U22" s="207">
        <f t="shared" ref="U22:U25" si="12">SUM(O22:T22)</f>
        <v>1</v>
      </c>
      <c r="V22" s="212">
        <f t="shared" ref="V22:V25" si="13">U22*L22</f>
        <v>151.32</v>
      </c>
      <c r="W22" s="445" t="s">
        <v>527</v>
      </c>
    </row>
    <row r="23" spans="1:23" x14ac:dyDescent="0.15">
      <c r="B23" s="293" t="s">
        <v>578</v>
      </c>
      <c r="C23" s="293"/>
      <c r="D23" s="293"/>
      <c r="E23" s="294">
        <v>1</v>
      </c>
      <c r="F23" s="316"/>
      <c r="G23" s="316"/>
      <c r="H23" s="316">
        <f>30.7+30.7+16.5-H22</f>
        <v>46.7</v>
      </c>
      <c r="I23" s="286">
        <f>SUM(E23*H23)</f>
        <v>46.7</v>
      </c>
      <c r="J23" s="295">
        <f>+I23</f>
        <v>46.7</v>
      </c>
      <c r="K23" s="289">
        <v>4.8499999999999996</v>
      </c>
      <c r="L23" s="290">
        <f t="shared" ref="L23" si="14">SUM(J23*K23)</f>
        <v>226.5</v>
      </c>
      <c r="O23" s="238"/>
      <c r="P23" s="436"/>
      <c r="Q23" s="238">
        <v>1</v>
      </c>
      <c r="R23" s="238"/>
      <c r="S23" s="442"/>
      <c r="T23" s="238"/>
      <c r="U23" s="380">
        <f>SUM(O23:T23)</f>
        <v>1</v>
      </c>
      <c r="V23" s="237">
        <f>U23*L23</f>
        <v>226.5</v>
      </c>
      <c r="W23" s="114"/>
    </row>
    <row r="24" spans="1:23" x14ac:dyDescent="0.15">
      <c r="B24" s="446" t="s">
        <v>524</v>
      </c>
      <c r="C24" s="446"/>
      <c r="D24" s="446"/>
      <c r="E24" s="447">
        <v>1</v>
      </c>
      <c r="F24" s="448"/>
      <c r="G24" s="448"/>
      <c r="H24" s="448">
        <v>37.299999999999997</v>
      </c>
      <c r="I24" s="452">
        <f t="shared" si="10"/>
        <v>37.299999999999997</v>
      </c>
      <c r="J24" s="449">
        <f>+I24</f>
        <v>37.299999999999997</v>
      </c>
      <c r="K24" s="450">
        <v>4.8499999999999996</v>
      </c>
      <c r="L24" s="451">
        <f t="shared" si="11"/>
        <v>180.91</v>
      </c>
      <c r="O24" s="197"/>
      <c r="P24" s="436">
        <v>1</v>
      </c>
      <c r="Q24" s="238"/>
      <c r="R24" s="238"/>
      <c r="S24" s="234"/>
      <c r="T24" s="197"/>
      <c r="U24" s="207">
        <f t="shared" si="12"/>
        <v>1</v>
      </c>
      <c r="V24" s="212">
        <f t="shared" si="13"/>
        <v>180.91</v>
      </c>
      <c r="W24" s="445" t="s">
        <v>527</v>
      </c>
    </row>
    <row r="25" spans="1:23" x14ac:dyDescent="0.15">
      <c r="B25" s="446" t="s">
        <v>584</v>
      </c>
      <c r="C25" s="446"/>
      <c r="D25" s="446"/>
      <c r="E25" s="447">
        <v>1</v>
      </c>
      <c r="F25" s="448"/>
      <c r="G25" s="448"/>
      <c r="H25" s="448">
        <v>28.3</v>
      </c>
      <c r="I25" s="452">
        <f t="shared" si="10"/>
        <v>28.3</v>
      </c>
      <c r="J25" s="449">
        <f>+I25</f>
        <v>28.3</v>
      </c>
      <c r="K25" s="450">
        <v>4.8499999999999996</v>
      </c>
      <c r="L25" s="451">
        <f t="shared" si="11"/>
        <v>137.26</v>
      </c>
      <c r="O25" s="197"/>
      <c r="P25" s="436">
        <v>1</v>
      </c>
      <c r="Q25" s="238"/>
      <c r="R25" s="238"/>
      <c r="S25" s="234"/>
      <c r="T25" s="197"/>
      <c r="U25" s="207">
        <f t="shared" si="12"/>
        <v>1</v>
      </c>
      <c r="V25" s="212">
        <f t="shared" si="13"/>
        <v>137.26</v>
      </c>
      <c r="W25" s="445" t="s">
        <v>527</v>
      </c>
    </row>
    <row r="26" spans="1:23" s="30" customFormat="1" ht="14" x14ac:dyDescent="0.15">
      <c r="A26" s="65"/>
      <c r="B26" s="84" t="s">
        <v>316</v>
      </c>
      <c r="C26" s="27"/>
      <c r="D26" s="113" t="s">
        <v>297</v>
      </c>
      <c r="E26" s="92"/>
      <c r="F26" s="92"/>
      <c r="G26" s="92"/>
      <c r="H26" s="92"/>
      <c r="I26" s="92"/>
      <c r="J26" s="94">
        <f>SUM(I27:I29)</f>
        <v>12.71</v>
      </c>
      <c r="K26" s="28">
        <v>12.36</v>
      </c>
      <c r="L26" s="73">
        <f>SUM(J26*K26)</f>
        <v>157.1</v>
      </c>
      <c r="M26" s="115" t="s">
        <v>326</v>
      </c>
      <c r="N26" s="39"/>
      <c r="O26" s="197">
        <v>0.05</v>
      </c>
      <c r="P26" s="436">
        <v>0.05</v>
      </c>
      <c r="Q26" s="238"/>
      <c r="R26" s="238"/>
      <c r="S26" s="234">
        <v>0.9</v>
      </c>
      <c r="T26" s="197"/>
      <c r="U26" s="207">
        <f>SUM(O26:T26)</f>
        <v>1</v>
      </c>
      <c r="V26" s="212">
        <f>U26*L26</f>
        <v>157.1</v>
      </c>
      <c r="W26" s="11"/>
    </row>
    <row r="27" spans="1:23" x14ac:dyDescent="0.15">
      <c r="B27" t="s">
        <v>312</v>
      </c>
      <c r="E27" s="68">
        <v>1</v>
      </c>
      <c r="F27" s="67">
        <v>5.66</v>
      </c>
      <c r="G27" s="67">
        <v>0.3</v>
      </c>
      <c r="H27" s="67">
        <v>0.3</v>
      </c>
      <c r="I27" s="67">
        <f>SUM(E27*F27*G27)</f>
        <v>1.7</v>
      </c>
      <c r="O27" s="197"/>
      <c r="P27" s="436"/>
      <c r="Q27" s="238"/>
      <c r="R27" s="238"/>
      <c r="S27" s="234"/>
      <c r="T27" s="197"/>
      <c r="U27" s="207"/>
      <c r="V27" s="189"/>
    </row>
    <row r="28" spans="1:23" x14ac:dyDescent="0.15">
      <c r="B28" t="s">
        <v>313</v>
      </c>
      <c r="E28" s="112">
        <v>3</v>
      </c>
      <c r="F28" s="75">
        <v>5.35</v>
      </c>
      <c r="G28" s="67">
        <v>0.45</v>
      </c>
      <c r="H28" s="67">
        <v>0.85</v>
      </c>
      <c r="I28" s="67">
        <f>SUM(E28*F28*G28)</f>
        <v>7.22</v>
      </c>
      <c r="O28" s="197"/>
      <c r="P28" s="436"/>
      <c r="Q28" s="238"/>
      <c r="R28" s="238"/>
      <c r="S28" s="234"/>
      <c r="T28" s="197"/>
      <c r="U28" s="207"/>
      <c r="V28" s="189"/>
    </row>
    <row r="29" spans="1:23" x14ac:dyDescent="0.15">
      <c r="B29" t="s">
        <v>314</v>
      </c>
      <c r="E29" s="112">
        <v>2</v>
      </c>
      <c r="F29" s="75">
        <v>6.31</v>
      </c>
      <c r="G29" s="67">
        <v>0.3</v>
      </c>
      <c r="H29" s="67">
        <v>0.85</v>
      </c>
      <c r="I29" s="67">
        <f t="shared" ref="I29:I32" si="15">SUM(E29*F29*G29)</f>
        <v>3.79</v>
      </c>
      <c r="O29" s="197"/>
      <c r="P29" s="436"/>
      <c r="Q29" s="238"/>
      <c r="R29" s="238"/>
      <c r="S29" s="234"/>
      <c r="T29" s="197"/>
      <c r="U29" s="207"/>
      <c r="V29" s="189"/>
    </row>
    <row r="30" spans="1:23" x14ac:dyDescent="0.15">
      <c r="B30" s="446" t="s">
        <v>529</v>
      </c>
      <c r="C30" s="446"/>
      <c r="D30" s="446"/>
      <c r="E30" s="447">
        <v>1</v>
      </c>
      <c r="F30" s="448">
        <v>5.66</v>
      </c>
      <c r="G30" s="448">
        <f>0.65-G27</f>
        <v>0.35</v>
      </c>
      <c r="H30" s="448">
        <v>0.3</v>
      </c>
      <c r="I30" s="452">
        <f t="shared" si="15"/>
        <v>1.98</v>
      </c>
      <c r="J30" s="449">
        <f>+I30</f>
        <v>1.98</v>
      </c>
      <c r="K30" s="450">
        <v>12.36</v>
      </c>
      <c r="L30" s="451">
        <f t="shared" ref="L30:L32" si="16">SUM(J30*K30)</f>
        <v>24.47</v>
      </c>
      <c r="O30" s="197"/>
      <c r="P30" s="436">
        <v>1</v>
      </c>
      <c r="Q30" s="238"/>
      <c r="R30" s="238"/>
      <c r="S30" s="234"/>
      <c r="T30" s="197"/>
      <c r="U30" s="207">
        <f t="shared" ref="U30:U32" si="17">SUM(O30:T30)</f>
        <v>1</v>
      </c>
      <c r="V30" s="212">
        <f t="shared" ref="V30:V32" si="18">U30*L30</f>
        <v>24.47</v>
      </c>
      <c r="W30" s="445" t="s">
        <v>527</v>
      </c>
    </row>
    <row r="31" spans="1:23" x14ac:dyDescent="0.15">
      <c r="B31" s="446" t="s">
        <v>524</v>
      </c>
      <c r="C31" s="446"/>
      <c r="D31" s="446"/>
      <c r="E31" s="447">
        <v>1</v>
      </c>
      <c r="F31" s="448">
        <v>5.66</v>
      </c>
      <c r="G31" s="448">
        <v>0.3</v>
      </c>
      <c r="H31" s="448">
        <v>0.3</v>
      </c>
      <c r="I31" s="452">
        <f t="shared" si="15"/>
        <v>1.7</v>
      </c>
      <c r="J31" s="449">
        <f>+I31</f>
        <v>1.7</v>
      </c>
      <c r="K31" s="450">
        <v>12.36</v>
      </c>
      <c r="L31" s="451">
        <f t="shared" si="16"/>
        <v>21.01</v>
      </c>
      <c r="O31" s="197"/>
      <c r="P31" s="436">
        <v>1</v>
      </c>
      <c r="Q31" s="238"/>
      <c r="R31" s="238"/>
      <c r="S31" s="234"/>
      <c r="T31" s="197"/>
      <c r="U31" s="207">
        <f t="shared" si="17"/>
        <v>1</v>
      </c>
      <c r="V31" s="212">
        <f t="shared" si="18"/>
        <v>21.01</v>
      </c>
      <c r="W31" s="445" t="s">
        <v>527</v>
      </c>
    </row>
    <row r="32" spans="1:23" x14ac:dyDescent="0.15">
      <c r="B32" s="446" t="s">
        <v>525</v>
      </c>
      <c r="C32" s="446"/>
      <c r="D32" s="446"/>
      <c r="E32" s="447">
        <v>1</v>
      </c>
      <c r="F32" s="448">
        <v>4.22</v>
      </c>
      <c r="G32" s="448">
        <v>0.3</v>
      </c>
      <c r="H32" s="448">
        <v>0.3</v>
      </c>
      <c r="I32" s="452">
        <f t="shared" si="15"/>
        <v>1.27</v>
      </c>
      <c r="J32" s="449">
        <f>+I32</f>
        <v>1.27</v>
      </c>
      <c r="K32" s="450">
        <v>12.36</v>
      </c>
      <c r="L32" s="451">
        <f t="shared" si="16"/>
        <v>15.7</v>
      </c>
      <c r="O32" s="197"/>
      <c r="P32" s="436">
        <v>1</v>
      </c>
      <c r="Q32" s="238"/>
      <c r="R32" s="238"/>
      <c r="S32" s="234"/>
      <c r="T32" s="197"/>
      <c r="U32" s="207">
        <f t="shared" si="17"/>
        <v>1</v>
      </c>
      <c r="V32" s="212">
        <f t="shared" si="18"/>
        <v>15.7</v>
      </c>
      <c r="W32" s="445" t="s">
        <v>527</v>
      </c>
    </row>
    <row r="33" spans="1:23" s="30" customFormat="1" ht="14" x14ac:dyDescent="0.15">
      <c r="A33" s="65" t="s">
        <v>319</v>
      </c>
      <c r="B33" s="84" t="s">
        <v>322</v>
      </c>
      <c r="C33" s="27"/>
      <c r="D33" s="113" t="s">
        <v>304</v>
      </c>
      <c r="E33" s="92"/>
      <c r="F33" s="92"/>
      <c r="G33" s="92"/>
      <c r="H33" s="92"/>
      <c r="I33" s="92"/>
      <c r="J33" s="94">
        <f>SUM(I34:I36)</f>
        <v>12.95</v>
      </c>
      <c r="K33" s="28">
        <v>313.76</v>
      </c>
      <c r="L33" s="73">
        <f>SUM(J33*K33)</f>
        <v>4063.19</v>
      </c>
      <c r="M33" s="115"/>
      <c r="N33" s="39"/>
      <c r="O33" s="197">
        <v>0.05</v>
      </c>
      <c r="P33" s="436"/>
      <c r="Q33" s="238"/>
      <c r="R33" s="238"/>
      <c r="S33" s="234">
        <v>0.95</v>
      </c>
      <c r="T33" s="197"/>
      <c r="U33" s="207">
        <f>SUM(O33:T33)</f>
        <v>1</v>
      </c>
      <c r="V33" s="212">
        <f>U33*L33</f>
        <v>4063.19</v>
      </c>
      <c r="W33" s="11"/>
    </row>
    <row r="34" spans="1:23" x14ac:dyDescent="0.15">
      <c r="B34" s="114" t="s">
        <v>320</v>
      </c>
      <c r="E34" s="68">
        <v>1</v>
      </c>
      <c r="F34" s="67">
        <v>41.9</v>
      </c>
      <c r="G34" s="67"/>
      <c r="H34" s="67">
        <v>0.15</v>
      </c>
      <c r="I34" s="67">
        <f>SUM(E34*F34*H34)</f>
        <v>6.29</v>
      </c>
      <c r="M34" s="285" t="s">
        <v>548</v>
      </c>
      <c r="O34" s="197"/>
      <c r="P34" s="436"/>
      <c r="Q34" s="238"/>
      <c r="R34" s="238"/>
      <c r="S34" s="234"/>
      <c r="T34" s="197"/>
      <c r="U34" s="207"/>
      <c r="V34" s="189"/>
    </row>
    <row r="35" spans="1:23" x14ac:dyDescent="0.15">
      <c r="B35" s="114" t="s">
        <v>321</v>
      </c>
      <c r="E35" s="68">
        <v>1</v>
      </c>
      <c r="F35" s="67">
        <v>30</v>
      </c>
      <c r="G35" s="67"/>
      <c r="H35" s="67">
        <v>0.15</v>
      </c>
      <c r="I35" s="67">
        <f>SUM(E35*F35*H35)</f>
        <v>4.5</v>
      </c>
      <c r="O35" s="197"/>
      <c r="P35" s="436"/>
      <c r="Q35" s="238"/>
      <c r="R35" s="238"/>
      <c r="S35" s="234"/>
      <c r="T35" s="197"/>
      <c r="U35" s="207"/>
      <c r="V35" s="189"/>
    </row>
    <row r="36" spans="1:23" x14ac:dyDescent="0.15">
      <c r="B36" s="114" t="s">
        <v>498</v>
      </c>
      <c r="E36" s="68">
        <v>1</v>
      </c>
      <c r="F36" s="67">
        <v>14.38</v>
      </c>
      <c r="G36" s="67"/>
      <c r="H36" s="67">
        <v>0.15</v>
      </c>
      <c r="I36" s="67">
        <f>SUM(E36*F36*H36)</f>
        <v>2.16</v>
      </c>
      <c r="M36" s="285" t="s">
        <v>657</v>
      </c>
      <c r="O36" s="197"/>
      <c r="P36" s="436"/>
      <c r="Q36" s="238"/>
      <c r="R36" s="238"/>
      <c r="S36" s="234"/>
      <c r="T36" s="197"/>
      <c r="U36" s="207"/>
      <c r="V36" s="189"/>
    </row>
    <row r="37" spans="1:23" s="30" customFormat="1" ht="14" x14ac:dyDescent="0.15">
      <c r="A37" s="65"/>
      <c r="B37" s="84" t="s">
        <v>317</v>
      </c>
      <c r="C37" s="27"/>
      <c r="D37" s="113" t="s">
        <v>297</v>
      </c>
      <c r="E37" s="92"/>
      <c r="F37" s="92"/>
      <c r="G37" s="92"/>
      <c r="H37" s="92"/>
      <c r="I37" s="92"/>
      <c r="J37" s="94">
        <f>SUM(I38:I40)</f>
        <v>2.08</v>
      </c>
      <c r="K37" s="28">
        <v>59.56</v>
      </c>
      <c r="L37" s="73">
        <f>SUM(J37*K37)</f>
        <v>123.88</v>
      </c>
      <c r="M37" s="115"/>
      <c r="N37" s="39"/>
      <c r="O37" s="197">
        <v>0.05</v>
      </c>
      <c r="P37" s="436"/>
      <c r="Q37" s="238"/>
      <c r="R37" s="238"/>
      <c r="S37" s="234">
        <v>0.95</v>
      </c>
      <c r="T37" s="197"/>
      <c r="U37" s="207">
        <f>SUM(O37:T37)</f>
        <v>1</v>
      </c>
      <c r="V37" s="212">
        <f>U37*L37</f>
        <v>123.88</v>
      </c>
    </row>
    <row r="38" spans="1:23" x14ac:dyDescent="0.15">
      <c r="B38" s="114" t="s">
        <v>320</v>
      </c>
      <c r="E38" s="68"/>
      <c r="F38" s="67"/>
      <c r="G38" s="67"/>
      <c r="H38" s="67"/>
      <c r="I38" s="67"/>
      <c r="M38" s="285" t="s">
        <v>548</v>
      </c>
      <c r="O38" s="197"/>
      <c r="P38" s="436"/>
      <c r="Q38" s="238"/>
      <c r="R38" s="238"/>
      <c r="S38" s="234"/>
      <c r="T38" s="197"/>
      <c r="U38" s="207"/>
      <c r="V38" s="189"/>
    </row>
    <row r="39" spans="1:23" x14ac:dyDescent="0.15">
      <c r="B39" s="114" t="s">
        <v>321</v>
      </c>
      <c r="E39" s="68">
        <v>1</v>
      </c>
      <c r="F39" s="67">
        <v>5.35</v>
      </c>
      <c r="G39" s="67"/>
      <c r="H39" s="67">
        <v>0.15</v>
      </c>
      <c r="I39" s="67">
        <f>SUM(E39*F39*H39)*2</f>
        <v>1.61</v>
      </c>
      <c r="O39" s="197"/>
      <c r="P39" s="436"/>
      <c r="Q39" s="238"/>
      <c r="R39" s="238"/>
      <c r="S39" s="234"/>
      <c r="T39" s="197"/>
      <c r="U39" s="207"/>
      <c r="V39" s="189"/>
    </row>
    <row r="40" spans="1:23" x14ac:dyDescent="0.15">
      <c r="B40" s="114" t="s">
        <v>498</v>
      </c>
      <c r="E40" s="68">
        <v>1</v>
      </c>
      <c r="F40" s="67">
        <v>3.14</v>
      </c>
      <c r="G40" s="67"/>
      <c r="H40" s="67">
        <v>0.15</v>
      </c>
      <c r="I40" s="67">
        <f>SUM(E40*F40*H40)</f>
        <v>0.47</v>
      </c>
      <c r="O40" s="197"/>
      <c r="P40" s="436"/>
      <c r="Q40" s="238"/>
      <c r="R40" s="238"/>
      <c r="S40" s="234"/>
      <c r="T40" s="197"/>
      <c r="U40" s="207"/>
      <c r="V40" s="189"/>
    </row>
    <row r="41" spans="1:23" s="30" customFormat="1" ht="14" x14ac:dyDescent="0.15">
      <c r="A41" s="65"/>
      <c r="B41" s="84" t="s">
        <v>323</v>
      </c>
      <c r="C41" s="27"/>
      <c r="D41" s="113" t="s">
        <v>305</v>
      </c>
      <c r="E41" s="92"/>
      <c r="F41" s="92"/>
      <c r="G41" s="92"/>
      <c r="H41" s="92"/>
      <c r="I41" s="92"/>
      <c r="J41" s="94">
        <f>SUM(I42:I44)</f>
        <v>72.349999999999994</v>
      </c>
      <c r="K41" s="28">
        <v>4.8499999999999996</v>
      </c>
      <c r="L41" s="73">
        <f>SUM(J41*K41)</f>
        <v>350.9</v>
      </c>
      <c r="M41" s="115"/>
      <c r="N41" s="39"/>
      <c r="O41" s="197">
        <v>0.05</v>
      </c>
      <c r="P41" s="436"/>
      <c r="Q41" s="238"/>
      <c r="R41" s="238"/>
      <c r="S41" s="234">
        <v>0.95</v>
      </c>
      <c r="T41" s="197"/>
      <c r="U41" s="207">
        <f>SUM(O41:T41)</f>
        <v>1</v>
      </c>
      <c r="V41" s="212">
        <f>U41*L41</f>
        <v>350.9</v>
      </c>
    </row>
    <row r="42" spans="1:23" x14ac:dyDescent="0.15">
      <c r="B42" s="114" t="s">
        <v>320</v>
      </c>
      <c r="E42" s="68">
        <v>1</v>
      </c>
      <c r="F42" s="67"/>
      <c r="G42" s="67"/>
      <c r="H42" s="67">
        <v>35.5</v>
      </c>
      <c r="I42" s="67">
        <f t="shared" ref="I42:I43" si="19">SUM(E42*H42)</f>
        <v>35.5</v>
      </c>
      <c r="M42" s="285" t="s">
        <v>548</v>
      </c>
      <c r="O42" s="197"/>
      <c r="P42" s="436"/>
      <c r="Q42" s="238"/>
      <c r="R42" s="238"/>
      <c r="S42" s="234"/>
      <c r="T42" s="197"/>
      <c r="U42" s="207"/>
      <c r="V42" s="189"/>
    </row>
    <row r="43" spans="1:23" x14ac:dyDescent="0.15">
      <c r="B43" s="114" t="s">
        <v>321</v>
      </c>
      <c r="E43" s="68">
        <v>1</v>
      </c>
      <c r="F43" s="67"/>
      <c r="G43" s="67"/>
      <c r="H43" s="67">
        <v>24.9</v>
      </c>
      <c r="I43" s="67">
        <f t="shared" si="19"/>
        <v>24.9</v>
      </c>
      <c r="O43" s="197"/>
      <c r="P43" s="436"/>
      <c r="Q43" s="238"/>
      <c r="R43" s="238"/>
      <c r="S43" s="234"/>
      <c r="T43" s="197"/>
      <c r="U43" s="207"/>
      <c r="V43" s="189"/>
    </row>
    <row r="44" spans="1:23" x14ac:dyDescent="0.15">
      <c r="B44" s="114" t="s">
        <v>498</v>
      </c>
      <c r="E44" s="68">
        <v>1</v>
      </c>
      <c r="F44" s="67"/>
      <c r="G44" s="67"/>
      <c r="H44" s="67">
        <f>H43/I35*I36</f>
        <v>11.95</v>
      </c>
      <c r="I44" s="67">
        <f t="shared" ref="I44" si="20">SUM(E44*H44)</f>
        <v>11.95</v>
      </c>
      <c r="M44" s="285" t="s">
        <v>657</v>
      </c>
      <c r="O44" s="197"/>
      <c r="P44" s="436"/>
      <c r="Q44" s="238"/>
      <c r="R44" s="238"/>
      <c r="S44" s="234"/>
      <c r="T44" s="197"/>
      <c r="U44" s="207"/>
      <c r="V44" s="189"/>
    </row>
    <row r="45" spans="1:23" x14ac:dyDescent="0.15">
      <c r="B45" s="293" t="s">
        <v>587</v>
      </c>
      <c r="C45" s="293"/>
      <c r="D45" s="293"/>
      <c r="E45" s="294">
        <v>1</v>
      </c>
      <c r="F45" s="316"/>
      <c r="G45" s="316"/>
      <c r="H45" s="316">
        <v>18.899999999999999</v>
      </c>
      <c r="I45" s="286">
        <f>SUM(E45*H45)</f>
        <v>18.899999999999999</v>
      </c>
      <c r="J45" s="295">
        <f>+I45</f>
        <v>18.899999999999999</v>
      </c>
      <c r="K45" s="289">
        <f>+K41</f>
        <v>4.8499999999999996</v>
      </c>
      <c r="L45" s="290">
        <f t="shared" ref="L45" si="21">SUM(J45*K45)</f>
        <v>91.67</v>
      </c>
      <c r="O45" s="238"/>
      <c r="P45" s="436"/>
      <c r="Q45" s="238"/>
      <c r="R45" s="238"/>
      <c r="S45" s="442">
        <v>1</v>
      </c>
      <c r="T45" s="238"/>
      <c r="U45" s="380">
        <f>SUM(O45:T45)</f>
        <v>1</v>
      </c>
      <c r="V45" s="237">
        <f>U45*L45</f>
        <v>91.67</v>
      </c>
    </row>
    <row r="46" spans="1:23" s="30" customFormat="1" ht="14" x14ac:dyDescent="0.15">
      <c r="A46" s="65"/>
      <c r="B46" s="84" t="s">
        <v>324</v>
      </c>
      <c r="C46" s="27"/>
      <c r="D46" s="113" t="s">
        <v>305</v>
      </c>
      <c r="E46" s="92"/>
      <c r="F46" s="92"/>
      <c r="G46" s="92"/>
      <c r="H46" s="92"/>
      <c r="I46" s="92"/>
      <c r="J46" s="94">
        <f>SUM(I47:I49)</f>
        <v>572.67999999999995</v>
      </c>
      <c r="K46" s="28">
        <v>4.05</v>
      </c>
      <c r="L46" s="73">
        <f>SUM(J46*K46)</f>
        <v>2319.35</v>
      </c>
      <c r="M46" s="115"/>
      <c r="N46" s="39"/>
      <c r="O46" s="197">
        <v>0.05</v>
      </c>
      <c r="P46" s="436"/>
      <c r="Q46" s="238"/>
      <c r="R46" s="238"/>
      <c r="S46" s="234">
        <v>0.95</v>
      </c>
      <c r="T46" s="197"/>
      <c r="U46" s="207">
        <f>SUM(O46:T46)</f>
        <v>1</v>
      </c>
      <c r="V46" s="212">
        <f>U46*L46</f>
        <v>2319.35</v>
      </c>
    </row>
    <row r="47" spans="1:23" x14ac:dyDescent="0.15">
      <c r="B47" s="114" t="s">
        <v>320</v>
      </c>
      <c r="E47" s="68">
        <v>1</v>
      </c>
      <c r="F47" s="67"/>
      <c r="G47" s="67"/>
      <c r="H47" s="67">
        <v>297.5</v>
      </c>
      <c r="I47" s="67">
        <f t="shared" ref="I47:I49" si="22">SUM(E47*H47)</f>
        <v>297.5</v>
      </c>
      <c r="M47" s="285" t="s">
        <v>548</v>
      </c>
      <c r="O47" s="197"/>
      <c r="P47" s="436"/>
      <c r="Q47" s="238"/>
      <c r="R47" s="238"/>
      <c r="S47" s="234"/>
      <c r="T47" s="197"/>
      <c r="U47" s="207"/>
      <c r="V47" s="189"/>
    </row>
    <row r="48" spans="1:23" x14ac:dyDescent="0.15">
      <c r="B48" s="114" t="s">
        <v>321</v>
      </c>
      <c r="E48" s="68">
        <v>1</v>
      </c>
      <c r="F48" s="67"/>
      <c r="G48" s="67"/>
      <c r="H48" s="67">
        <v>213</v>
      </c>
      <c r="I48" s="67">
        <f t="shared" si="22"/>
        <v>213</v>
      </c>
      <c r="O48" s="197"/>
      <c r="P48" s="436"/>
      <c r="Q48" s="238"/>
      <c r="R48" s="238"/>
      <c r="S48" s="234"/>
      <c r="T48" s="197"/>
      <c r="U48" s="207"/>
      <c r="V48" s="189"/>
    </row>
    <row r="49" spans="1:22" x14ac:dyDescent="0.15">
      <c r="B49" s="114" t="s">
        <v>498</v>
      </c>
      <c r="E49" s="68">
        <v>1</v>
      </c>
      <c r="F49" s="67"/>
      <c r="G49" s="67"/>
      <c r="H49" s="67">
        <f>H48/I39*I40</f>
        <v>62.18</v>
      </c>
      <c r="I49" s="67">
        <f t="shared" si="22"/>
        <v>62.18</v>
      </c>
      <c r="M49" s="285" t="s">
        <v>657</v>
      </c>
      <c r="O49" s="197"/>
      <c r="P49" s="436"/>
      <c r="Q49" s="238"/>
      <c r="R49" s="238"/>
      <c r="S49" s="234"/>
      <c r="T49" s="197"/>
      <c r="U49" s="207"/>
      <c r="V49" s="189"/>
    </row>
    <row r="50" spans="1:22" s="30" customFormat="1" ht="14" x14ac:dyDescent="0.15">
      <c r="A50" s="65"/>
      <c r="B50" s="84" t="s">
        <v>316</v>
      </c>
      <c r="C50" s="27"/>
      <c r="D50" s="113" t="s">
        <v>297</v>
      </c>
      <c r="E50" s="92"/>
      <c r="F50" s="92"/>
      <c r="G50" s="92"/>
      <c r="H50" s="92"/>
      <c r="I50" s="92"/>
      <c r="J50" s="94">
        <f>SUM(I51:I53)</f>
        <v>86.28</v>
      </c>
      <c r="K50" s="28">
        <v>12.36</v>
      </c>
      <c r="L50" s="73">
        <f>SUM(J50*K50)</f>
        <v>1066.42</v>
      </c>
      <c r="M50" s="115" t="str">
        <f>+M26</f>
        <v>Epaisseur 5 cm</v>
      </c>
      <c r="N50" s="39"/>
      <c r="O50" s="197">
        <v>0.05</v>
      </c>
      <c r="P50" s="436"/>
      <c r="Q50" s="238"/>
      <c r="R50" s="238"/>
      <c r="S50" s="234">
        <v>0.95</v>
      </c>
      <c r="T50" s="197"/>
      <c r="U50" s="207">
        <f>SUM(O50:T50)</f>
        <v>1</v>
      </c>
      <c r="V50" s="212">
        <f>U50*L50</f>
        <v>1066.42</v>
      </c>
    </row>
    <row r="51" spans="1:22" x14ac:dyDescent="0.15">
      <c r="B51" s="114" t="s">
        <v>320</v>
      </c>
      <c r="E51" s="68">
        <v>1</v>
      </c>
      <c r="F51" s="67">
        <v>41.9</v>
      </c>
      <c r="G51" s="67"/>
      <c r="H51" s="67">
        <v>0.15</v>
      </c>
      <c r="I51" s="67">
        <f>SUM(E51*F51)</f>
        <v>41.9</v>
      </c>
      <c r="M51" s="285" t="s">
        <v>548</v>
      </c>
      <c r="O51" s="197"/>
      <c r="P51" s="436"/>
      <c r="Q51" s="238"/>
      <c r="R51" s="238"/>
      <c r="S51" s="234"/>
      <c r="T51" s="197"/>
      <c r="U51" s="207"/>
      <c r="V51" s="189"/>
    </row>
    <row r="52" spans="1:22" x14ac:dyDescent="0.15">
      <c r="B52" s="114" t="s">
        <v>321</v>
      </c>
      <c r="E52" s="68">
        <v>1</v>
      </c>
      <c r="F52" s="67">
        <v>30</v>
      </c>
      <c r="G52" s="67"/>
      <c r="H52" s="67">
        <v>0.15</v>
      </c>
      <c r="I52" s="67">
        <f>SUM(E52*F52)</f>
        <v>30</v>
      </c>
      <c r="O52" s="197"/>
      <c r="P52" s="436"/>
      <c r="Q52" s="238"/>
      <c r="R52" s="238"/>
      <c r="S52" s="234"/>
      <c r="T52" s="197"/>
      <c r="U52" s="207"/>
      <c r="V52" s="189"/>
    </row>
    <row r="53" spans="1:22" x14ac:dyDescent="0.15">
      <c r="B53" s="114" t="s">
        <v>498</v>
      </c>
      <c r="E53" s="68">
        <v>1</v>
      </c>
      <c r="F53" s="67">
        <v>14.38</v>
      </c>
      <c r="G53" s="67"/>
      <c r="H53" s="67">
        <v>0.15</v>
      </c>
      <c r="I53" s="67">
        <f>SUM(E53*F53)</f>
        <v>14.38</v>
      </c>
      <c r="M53" s="285" t="s">
        <v>657</v>
      </c>
      <c r="O53" s="197"/>
      <c r="P53" s="436"/>
      <c r="Q53" s="238"/>
      <c r="R53" s="238"/>
      <c r="S53" s="234"/>
      <c r="T53" s="197"/>
      <c r="U53" s="207"/>
      <c r="V53" s="189"/>
    </row>
    <row r="54" spans="1:22" s="30" customFormat="1" ht="14" x14ac:dyDescent="0.15">
      <c r="A54" s="65"/>
      <c r="B54" s="84" t="s">
        <v>448</v>
      </c>
      <c r="C54" s="27"/>
      <c r="D54" s="113" t="s">
        <v>308</v>
      </c>
      <c r="E54" s="92"/>
      <c r="F54" s="92"/>
      <c r="G54" s="92"/>
      <c r="H54" s="92"/>
      <c r="I54" s="92"/>
      <c r="J54" s="94">
        <v>20</v>
      </c>
      <c r="K54" s="28">
        <v>75</v>
      </c>
      <c r="L54" s="73">
        <f>SUM(J54*K54)</f>
        <v>1500</v>
      </c>
      <c r="M54" s="115"/>
      <c r="N54" s="39"/>
      <c r="O54" s="197">
        <v>0.05</v>
      </c>
      <c r="P54" s="436">
        <v>0.45</v>
      </c>
      <c r="Q54" s="238">
        <v>0.5</v>
      </c>
      <c r="R54" s="238"/>
      <c r="S54" s="234"/>
      <c r="T54" s="197"/>
      <c r="U54" s="207">
        <f t="shared" ref="U54:U56" si="23">SUM(O54:T54)</f>
        <v>1</v>
      </c>
      <c r="V54" s="212">
        <f t="shared" ref="V54:V56" si="24">U54*L54</f>
        <v>1500</v>
      </c>
    </row>
    <row r="55" spans="1:22" s="30" customFormat="1" ht="14" x14ac:dyDescent="0.15">
      <c r="A55" s="65"/>
      <c r="B55" s="84" t="s">
        <v>500</v>
      </c>
      <c r="C55" s="27"/>
      <c r="D55" s="113" t="s">
        <v>297</v>
      </c>
      <c r="E55" s="92"/>
      <c r="F55" s="92"/>
      <c r="G55" s="92"/>
      <c r="H55" s="92"/>
      <c r="I55" s="92"/>
      <c r="J55" s="94">
        <f>+F35+F36</f>
        <v>44.38</v>
      </c>
      <c r="K55" s="28">
        <v>78.62</v>
      </c>
      <c r="L55" s="73">
        <f>SUM(J55*K55)</f>
        <v>3489.16</v>
      </c>
      <c r="M55" s="319" t="s">
        <v>658</v>
      </c>
      <c r="N55" s="39"/>
      <c r="O55" s="197">
        <v>0.05</v>
      </c>
      <c r="P55" s="436"/>
      <c r="Q55" s="238"/>
      <c r="R55" s="238"/>
      <c r="S55" s="234">
        <v>0.95</v>
      </c>
      <c r="T55" s="197"/>
      <c r="U55" s="207">
        <f t="shared" si="23"/>
        <v>1</v>
      </c>
      <c r="V55" s="212">
        <f t="shared" si="24"/>
        <v>3489.16</v>
      </c>
    </row>
    <row r="56" spans="1:22" s="30" customFormat="1" ht="14" x14ac:dyDescent="0.15">
      <c r="A56" s="65" t="s">
        <v>327</v>
      </c>
      <c r="B56" s="84" t="s">
        <v>328</v>
      </c>
      <c r="C56" s="27"/>
      <c r="D56" s="113" t="s">
        <v>305</v>
      </c>
      <c r="E56" s="92"/>
      <c r="F56" s="92"/>
      <c r="G56" s="92"/>
      <c r="H56" s="92"/>
      <c r="I56" s="92"/>
      <c r="J56" s="94">
        <f>SUM(I57:I59)</f>
        <v>2080.0100000000002</v>
      </c>
      <c r="K56" s="28">
        <v>5.8</v>
      </c>
      <c r="L56" s="73">
        <f>SUM(J56*K56)</f>
        <v>12064.06</v>
      </c>
      <c r="M56" s="115" t="s">
        <v>331</v>
      </c>
      <c r="N56" s="39"/>
      <c r="O56" s="197">
        <v>0.05</v>
      </c>
      <c r="P56" s="436"/>
      <c r="Q56" s="238"/>
      <c r="R56" s="238">
        <v>0.25</v>
      </c>
      <c r="S56" s="234">
        <v>0.7</v>
      </c>
      <c r="T56" s="197"/>
      <c r="U56" s="207">
        <f t="shared" si="23"/>
        <v>1</v>
      </c>
      <c r="V56" s="212">
        <f t="shared" si="24"/>
        <v>12064.06</v>
      </c>
    </row>
    <row r="57" spans="1:22" x14ac:dyDescent="0.15">
      <c r="B57" s="114" t="s">
        <v>329</v>
      </c>
      <c r="E57" s="67">
        <v>1.1499999999999999</v>
      </c>
      <c r="F57" s="67"/>
      <c r="G57" s="67"/>
      <c r="H57" s="67">
        <v>1727.2</v>
      </c>
      <c r="I57" s="67">
        <f>SUM(E57*H57)</f>
        <v>1986.28</v>
      </c>
      <c r="N57" s="291" t="s">
        <v>549</v>
      </c>
      <c r="O57" s="197"/>
      <c r="P57" s="436"/>
      <c r="Q57" s="238"/>
      <c r="R57" s="238"/>
      <c r="S57" s="234"/>
      <c r="T57" s="197"/>
      <c r="U57" s="207"/>
      <c r="V57" s="189"/>
    </row>
    <row r="58" spans="1:22" x14ac:dyDescent="0.15">
      <c r="B58" s="114" t="s">
        <v>330</v>
      </c>
      <c r="E58" s="67">
        <v>1.1499999999999999</v>
      </c>
      <c r="F58" s="75"/>
      <c r="G58" s="67"/>
      <c r="H58" s="67">
        <v>81.5</v>
      </c>
      <c r="I58" s="67">
        <f>SUM(E58*H58)</f>
        <v>93.73</v>
      </c>
      <c r="M58" s="321"/>
      <c r="O58" s="197"/>
      <c r="P58" s="436"/>
      <c r="Q58" s="238"/>
      <c r="R58" s="238"/>
      <c r="S58" s="234"/>
      <c r="T58" s="197"/>
      <c r="U58" s="207"/>
      <c r="V58" s="189"/>
    </row>
    <row r="59" spans="1:22" s="30" customFormat="1" ht="14" x14ac:dyDescent="0.15">
      <c r="A59" s="65" t="s">
        <v>332</v>
      </c>
      <c r="B59" s="84" t="s">
        <v>358</v>
      </c>
      <c r="C59" s="27"/>
      <c r="D59" s="113" t="s">
        <v>304</v>
      </c>
      <c r="E59" s="92"/>
      <c r="F59" s="92"/>
      <c r="G59" s="92"/>
      <c r="H59" s="92"/>
      <c r="I59" s="92"/>
      <c r="J59" s="94">
        <f>SUM(I60:I61)</f>
        <v>1.1200000000000001</v>
      </c>
      <c r="K59" s="28">
        <v>695</v>
      </c>
      <c r="L59" s="73">
        <f>SUM(J59*K59)</f>
        <v>778.4</v>
      </c>
      <c r="N59" s="39"/>
      <c r="O59" s="197">
        <v>0.05</v>
      </c>
      <c r="P59" s="436"/>
      <c r="Q59" s="238"/>
      <c r="R59" s="238"/>
      <c r="S59" s="234">
        <v>0.95</v>
      </c>
      <c r="T59" s="197"/>
      <c r="U59" s="207">
        <f>SUM(O59:T59)</f>
        <v>1</v>
      </c>
      <c r="V59" s="212">
        <f>U59*L59</f>
        <v>778.4</v>
      </c>
    </row>
    <row r="60" spans="1:22" x14ac:dyDescent="0.15">
      <c r="B60" s="114" t="s">
        <v>591</v>
      </c>
      <c r="E60" s="68">
        <v>3</v>
      </c>
      <c r="F60" s="67">
        <v>3.06</v>
      </c>
      <c r="G60" s="67">
        <v>0.2</v>
      </c>
      <c r="H60" s="67">
        <v>0.4</v>
      </c>
      <c r="I60" s="67">
        <f t="shared" ref="I60:I61" si="25">SUM(E60*F60*G60*H60)</f>
        <v>0.73</v>
      </c>
      <c r="M60" s="468"/>
      <c r="O60" s="197"/>
      <c r="P60" s="436"/>
      <c r="Q60" s="238"/>
      <c r="R60" s="238"/>
      <c r="S60" s="234"/>
      <c r="T60" s="197"/>
      <c r="U60" s="207"/>
      <c r="V60" s="189"/>
    </row>
    <row r="61" spans="1:22" x14ac:dyDescent="0.15">
      <c r="B61" s="114" t="s">
        <v>592</v>
      </c>
      <c r="E61" s="68">
        <v>1</v>
      </c>
      <c r="F61" s="67">
        <v>3.06</v>
      </c>
      <c r="G61" s="67">
        <v>0.39</v>
      </c>
      <c r="H61" s="67">
        <v>0.33</v>
      </c>
      <c r="I61" s="67">
        <f t="shared" si="25"/>
        <v>0.39</v>
      </c>
      <c r="O61" s="197"/>
      <c r="P61" s="436"/>
      <c r="Q61" s="238"/>
      <c r="R61" s="238"/>
      <c r="S61" s="234"/>
      <c r="T61" s="197"/>
      <c r="U61" s="207"/>
      <c r="V61" s="189"/>
    </row>
    <row r="62" spans="1:22" s="30" customFormat="1" ht="14" x14ac:dyDescent="0.15">
      <c r="A62" s="65"/>
      <c r="B62" s="84" t="s">
        <v>317</v>
      </c>
      <c r="C62" s="27"/>
      <c r="D62" s="113" t="s">
        <v>297</v>
      </c>
      <c r="E62" s="92"/>
      <c r="F62" s="92"/>
      <c r="G62" s="92"/>
      <c r="H62" s="92"/>
      <c r="I62" s="92"/>
      <c r="J62" s="94">
        <f>SUM(I63:I64)</f>
        <v>12.39</v>
      </c>
      <c r="K62" s="28">
        <v>115.17</v>
      </c>
      <c r="L62" s="73">
        <f>SUM(J62*K62)</f>
        <v>1426.96</v>
      </c>
      <c r="M62" s="115"/>
      <c r="N62" s="39"/>
      <c r="O62" s="197">
        <v>0.05</v>
      </c>
      <c r="P62" s="436"/>
      <c r="Q62" s="238"/>
      <c r="R62" s="238"/>
      <c r="S62" s="234">
        <v>0.95</v>
      </c>
      <c r="T62" s="197"/>
      <c r="U62" s="207">
        <f>SUM(O62:T62)</f>
        <v>1</v>
      </c>
      <c r="V62" s="212">
        <f>U62*L62</f>
        <v>1426.96</v>
      </c>
    </row>
    <row r="63" spans="1:22" x14ac:dyDescent="0.15">
      <c r="B63" s="114" t="s">
        <v>591</v>
      </c>
      <c r="E63" s="68">
        <v>3</v>
      </c>
      <c r="F63" s="67">
        <v>3.06</v>
      </c>
      <c r="G63" s="67">
        <v>0.2</v>
      </c>
      <c r="H63" s="67">
        <v>0.4</v>
      </c>
      <c r="I63" s="67">
        <f>+E63*F63*(G63+2*H63)</f>
        <v>9.18</v>
      </c>
      <c r="O63" s="197"/>
      <c r="P63" s="436"/>
      <c r="Q63" s="238"/>
      <c r="R63" s="238"/>
      <c r="S63" s="234"/>
      <c r="T63" s="197"/>
      <c r="U63" s="207"/>
      <c r="V63" s="189"/>
    </row>
    <row r="64" spans="1:22" x14ac:dyDescent="0.15">
      <c r="B64" s="114" t="s">
        <v>592</v>
      </c>
      <c r="E64" s="68">
        <v>1</v>
      </c>
      <c r="F64" s="67">
        <v>3.06</v>
      </c>
      <c r="G64" s="67">
        <v>0.39</v>
      </c>
      <c r="H64" s="67">
        <v>0.33</v>
      </c>
      <c r="I64" s="67">
        <f>+E64*F64*(G64+2*H64)</f>
        <v>3.21</v>
      </c>
      <c r="O64" s="197"/>
      <c r="P64" s="436"/>
      <c r="Q64" s="238"/>
      <c r="R64" s="238"/>
      <c r="S64" s="234"/>
      <c r="T64" s="197"/>
      <c r="U64" s="207"/>
      <c r="V64" s="189"/>
    </row>
    <row r="65" spans="1:22" s="30" customFormat="1" ht="14" x14ac:dyDescent="0.15">
      <c r="A65" s="65"/>
      <c r="B65" s="84" t="s">
        <v>323</v>
      </c>
      <c r="C65" s="27"/>
      <c r="D65" s="113" t="s">
        <v>305</v>
      </c>
      <c r="E65" s="92"/>
      <c r="F65" s="92"/>
      <c r="G65" s="92"/>
      <c r="H65" s="92"/>
      <c r="I65" s="92"/>
      <c r="J65" s="94">
        <f>SUM(I66:I67)</f>
        <v>137.80000000000001</v>
      </c>
      <c r="K65" s="28">
        <v>4.8499999999999996</v>
      </c>
      <c r="L65" s="73">
        <f>SUM(J65*K65)</f>
        <v>668.33</v>
      </c>
      <c r="M65" s="115"/>
      <c r="N65" s="39"/>
      <c r="O65" s="197">
        <v>0.05</v>
      </c>
      <c r="P65" s="436"/>
      <c r="Q65" s="238"/>
      <c r="R65" s="238"/>
      <c r="S65" s="234">
        <v>0.95</v>
      </c>
      <c r="T65" s="197"/>
      <c r="U65" s="207">
        <f>SUM(O65:T65)</f>
        <v>1</v>
      </c>
      <c r="V65" s="212">
        <f>U65*L65</f>
        <v>668.33</v>
      </c>
    </row>
    <row r="66" spans="1:22" x14ac:dyDescent="0.15">
      <c r="B66" s="114" t="s">
        <v>591</v>
      </c>
      <c r="E66" s="68">
        <v>1</v>
      </c>
      <c r="F66" s="67"/>
      <c r="G66" s="67"/>
      <c r="H66" s="67">
        <f>47.9+11.2+33.6</f>
        <v>92.7</v>
      </c>
      <c r="I66" s="67">
        <f t="shared" ref="I66:I67" si="26">SUM(E66*H66)</f>
        <v>92.7</v>
      </c>
      <c r="O66" s="197"/>
      <c r="P66" s="436"/>
      <c r="Q66" s="238"/>
      <c r="R66" s="238"/>
      <c r="S66" s="234"/>
      <c r="T66" s="197"/>
      <c r="U66" s="207"/>
      <c r="V66" s="189"/>
    </row>
    <row r="67" spans="1:22" x14ac:dyDescent="0.15">
      <c r="B67" s="114" t="s">
        <v>592</v>
      </c>
      <c r="E67" s="68">
        <v>1</v>
      </c>
      <c r="F67" s="67"/>
      <c r="G67" s="67"/>
      <c r="H67" s="67">
        <f>26.6+5+13.5</f>
        <v>45.1</v>
      </c>
      <c r="I67" s="67">
        <f t="shared" si="26"/>
        <v>45.1</v>
      </c>
      <c r="O67" s="197"/>
      <c r="P67" s="436"/>
      <c r="Q67" s="238"/>
      <c r="R67" s="238"/>
      <c r="S67" s="234"/>
      <c r="T67" s="197"/>
      <c r="U67" s="207"/>
      <c r="V67" s="189"/>
    </row>
    <row r="68" spans="1:22" s="30" customFormat="1" ht="14" x14ac:dyDescent="0.15">
      <c r="A68" s="65" t="s">
        <v>334</v>
      </c>
      <c r="B68" s="84" t="s">
        <v>335</v>
      </c>
      <c r="C68" s="27"/>
      <c r="D68" s="113" t="s">
        <v>308</v>
      </c>
      <c r="E68" s="92"/>
      <c r="F68" s="92"/>
      <c r="G68" s="92"/>
      <c r="H68" s="92"/>
      <c r="I68" s="92"/>
      <c r="J68" s="94">
        <f>SUM(I69)</f>
        <v>4</v>
      </c>
      <c r="K68" s="28">
        <v>125</v>
      </c>
      <c r="L68" s="73">
        <f>SUM(J68*K68)</f>
        <v>500</v>
      </c>
      <c r="M68" s="115"/>
      <c r="N68" s="39"/>
      <c r="O68" s="197">
        <v>0.05</v>
      </c>
      <c r="P68" s="436"/>
      <c r="Q68" s="238"/>
      <c r="R68" s="238"/>
      <c r="S68" s="234">
        <v>0.95</v>
      </c>
      <c r="T68" s="197"/>
      <c r="U68" s="207">
        <f>SUM(O68:T68)</f>
        <v>1</v>
      </c>
      <c r="V68" s="212">
        <f>U68*L68</f>
        <v>500</v>
      </c>
    </row>
    <row r="69" spans="1:22" x14ac:dyDescent="0.15">
      <c r="B69" s="114" t="s">
        <v>353</v>
      </c>
      <c r="E69" s="68">
        <v>4</v>
      </c>
      <c r="F69" s="67">
        <v>0.2</v>
      </c>
      <c r="G69" s="67">
        <v>0.19</v>
      </c>
      <c r="H69" s="67">
        <v>0.19</v>
      </c>
      <c r="I69" s="67">
        <f>+E69</f>
        <v>4</v>
      </c>
      <c r="O69" s="197"/>
      <c r="P69" s="436"/>
      <c r="Q69" s="238"/>
      <c r="R69" s="238"/>
      <c r="S69" s="234"/>
      <c r="T69" s="197"/>
      <c r="U69" s="207"/>
      <c r="V69" s="189"/>
    </row>
    <row r="70" spans="1:22" ht="14" thickBot="1" x14ac:dyDescent="0.2">
      <c r="O70" s="197"/>
      <c r="P70" s="436"/>
      <c r="Q70" s="238"/>
      <c r="R70" s="238"/>
      <c r="S70" s="234"/>
      <c r="T70" s="197"/>
      <c r="U70" s="207"/>
      <c r="V70" s="189"/>
    </row>
    <row r="71" spans="1:22" s="25" customFormat="1" ht="14" thickBot="1" x14ac:dyDescent="0.2">
      <c r="A71" s="46" t="s">
        <v>427</v>
      </c>
      <c r="B71" s="47"/>
      <c r="C71" s="78"/>
      <c r="D71" s="79"/>
      <c r="E71" s="51"/>
      <c r="F71" s="51"/>
      <c r="G71" s="51"/>
      <c r="H71" s="51"/>
      <c r="I71" s="51"/>
      <c r="J71" s="8"/>
      <c r="K71" s="8"/>
      <c r="L71" s="104"/>
      <c r="M71" s="116"/>
      <c r="N71"/>
      <c r="O71" s="197"/>
      <c r="P71" s="436"/>
      <c r="Q71" s="238"/>
      <c r="R71" s="238"/>
      <c r="S71" s="234"/>
      <c r="T71" s="197"/>
      <c r="U71" s="207"/>
      <c r="V71" s="189"/>
    </row>
    <row r="72" spans="1:22" x14ac:dyDescent="0.15">
      <c r="O72" s="197"/>
      <c r="P72" s="436"/>
      <c r="Q72" s="238"/>
      <c r="R72" s="238"/>
      <c r="S72" s="234"/>
      <c r="T72" s="197"/>
      <c r="U72" s="207"/>
      <c r="V72" s="189"/>
    </row>
    <row r="73" spans="1:22" s="30" customFormat="1" ht="14" x14ac:dyDescent="0.15">
      <c r="A73" s="65" t="s">
        <v>318</v>
      </c>
      <c r="B73" s="84" t="s">
        <v>315</v>
      </c>
      <c r="C73" s="27"/>
      <c r="D73" s="113" t="s">
        <v>304</v>
      </c>
      <c r="E73" s="92"/>
      <c r="F73" s="92"/>
      <c r="G73" s="92"/>
      <c r="H73" s="92"/>
      <c r="I73" s="92"/>
      <c r="J73" s="94">
        <f>SUM(I74:I74)</f>
        <v>0.51</v>
      </c>
      <c r="K73" s="28">
        <f>+K4</f>
        <v>313.76</v>
      </c>
      <c r="L73" s="73">
        <f>SUM(J73*K73)</f>
        <v>160.02000000000001</v>
      </c>
      <c r="M73" s="115"/>
      <c r="N73" s="39"/>
      <c r="O73" s="197">
        <v>0.05</v>
      </c>
      <c r="P73" s="436"/>
      <c r="Q73" s="238">
        <v>0.95</v>
      </c>
      <c r="R73" s="238"/>
      <c r="S73" s="234"/>
      <c r="T73" s="197"/>
      <c r="U73" s="207">
        <f>SUM(O73:T73)</f>
        <v>1</v>
      </c>
      <c r="V73" s="212">
        <f>U73*L73</f>
        <v>160.02000000000001</v>
      </c>
    </row>
    <row r="74" spans="1:22" x14ac:dyDescent="0.15">
      <c r="B74" s="114" t="s">
        <v>428</v>
      </c>
      <c r="E74" s="68">
        <v>1</v>
      </c>
      <c r="F74" s="67">
        <v>5.66</v>
      </c>
      <c r="G74" s="67">
        <v>0.3</v>
      </c>
      <c r="H74" s="67">
        <v>0.3</v>
      </c>
      <c r="I74" s="67">
        <f t="shared" ref="I74" si="27">SUM(E74*F74*G74*H74)</f>
        <v>0.51</v>
      </c>
      <c r="O74" s="197"/>
      <c r="P74" s="436"/>
      <c r="Q74" s="238"/>
      <c r="R74" s="238"/>
      <c r="S74" s="234"/>
      <c r="T74" s="197"/>
      <c r="U74" s="207"/>
      <c r="V74" s="189"/>
    </row>
    <row r="75" spans="1:22" x14ac:dyDescent="0.15">
      <c r="B75" s="292" t="s">
        <v>428</v>
      </c>
      <c r="C75" s="317"/>
      <c r="D75" s="318" t="s">
        <v>304</v>
      </c>
      <c r="E75" s="288">
        <v>-1</v>
      </c>
      <c r="F75" s="286">
        <v>5.66</v>
      </c>
      <c r="G75" s="286">
        <v>0.3</v>
      </c>
      <c r="H75" s="286">
        <v>0.3</v>
      </c>
      <c r="I75" s="286">
        <f t="shared" ref="I75" si="28">SUM(E75*F75*G75*H75)</f>
        <v>-0.51</v>
      </c>
      <c r="J75" s="295">
        <f>+I75</f>
        <v>-0.51</v>
      </c>
      <c r="K75" s="289">
        <f>+K73</f>
        <v>313.76</v>
      </c>
      <c r="L75" s="290">
        <f>SUM(J75*K75)</f>
        <v>-160.02000000000001</v>
      </c>
      <c r="M75" s="319" t="s">
        <v>594</v>
      </c>
      <c r="N75" s="320"/>
      <c r="O75" s="238"/>
      <c r="P75" s="436"/>
      <c r="Q75" s="238">
        <v>1</v>
      </c>
      <c r="R75" s="238"/>
      <c r="S75" s="442"/>
      <c r="T75" s="238"/>
      <c r="U75" s="380">
        <f>SUM(O75:T75)</f>
        <v>1</v>
      </c>
      <c r="V75" s="237">
        <f>U75*L75</f>
        <v>-160.02000000000001</v>
      </c>
    </row>
    <row r="76" spans="1:22" s="30" customFormat="1" ht="14" x14ac:dyDescent="0.15">
      <c r="A76" s="65"/>
      <c r="B76" s="84" t="s">
        <v>317</v>
      </c>
      <c r="C76" s="27"/>
      <c r="D76" s="113" t="s">
        <v>297</v>
      </c>
      <c r="E76" s="92"/>
      <c r="F76" s="92"/>
      <c r="G76" s="92"/>
      <c r="H76" s="92"/>
      <c r="I76" s="92"/>
      <c r="J76" s="94">
        <f>SUM(I77:I77)</f>
        <v>3.4</v>
      </c>
      <c r="K76" s="28">
        <f>+K11</f>
        <v>59.56</v>
      </c>
      <c r="L76" s="73">
        <f>SUM(J76*K76)</f>
        <v>202.5</v>
      </c>
      <c r="M76" s="115"/>
      <c r="N76" s="39"/>
      <c r="O76" s="197">
        <v>0.05</v>
      </c>
      <c r="P76" s="436"/>
      <c r="Q76" s="238">
        <v>0.95</v>
      </c>
      <c r="R76" s="238"/>
      <c r="S76" s="234"/>
      <c r="T76" s="197"/>
      <c r="U76" s="207">
        <f>SUM(O76:T76)</f>
        <v>1</v>
      </c>
      <c r="V76" s="212">
        <f>U76*L76</f>
        <v>202.5</v>
      </c>
    </row>
    <row r="77" spans="1:22" x14ac:dyDescent="0.15">
      <c r="B77" s="114" t="s">
        <v>428</v>
      </c>
      <c r="E77" s="68">
        <v>1</v>
      </c>
      <c r="F77" s="67">
        <v>5.66</v>
      </c>
      <c r="G77" s="67">
        <v>0.3</v>
      </c>
      <c r="H77" s="67">
        <v>0.3</v>
      </c>
      <c r="I77" s="67">
        <f>SUM(E77*F77*H77)*2</f>
        <v>3.4</v>
      </c>
      <c r="O77" s="197"/>
      <c r="P77" s="436"/>
      <c r="Q77" s="238"/>
      <c r="R77" s="238"/>
      <c r="S77" s="234"/>
      <c r="T77" s="197"/>
      <c r="U77" s="207"/>
      <c r="V77" s="189"/>
    </row>
    <row r="78" spans="1:22" x14ac:dyDescent="0.15">
      <c r="B78" s="292" t="s">
        <v>428</v>
      </c>
      <c r="C78" s="317"/>
      <c r="D78" s="318" t="s">
        <v>304</v>
      </c>
      <c r="E78" s="288">
        <v>-1</v>
      </c>
      <c r="F78" s="286">
        <v>5.66</v>
      </c>
      <c r="G78" s="286">
        <v>0.3</v>
      </c>
      <c r="H78" s="286">
        <v>0.3</v>
      </c>
      <c r="I78" s="286">
        <f>SUM(E78*F78*H78)*2</f>
        <v>-3.4</v>
      </c>
      <c r="J78" s="295">
        <f>+I78</f>
        <v>-3.4</v>
      </c>
      <c r="K78" s="289">
        <f>+K76</f>
        <v>59.56</v>
      </c>
      <c r="L78" s="290">
        <f>SUM(J78*K78)</f>
        <v>-202.5</v>
      </c>
      <c r="M78" s="319" t="s">
        <v>594</v>
      </c>
      <c r="N78" s="320"/>
      <c r="O78" s="238"/>
      <c r="P78" s="436"/>
      <c r="Q78" s="238">
        <v>1</v>
      </c>
      <c r="R78" s="238"/>
      <c r="S78" s="442"/>
      <c r="T78" s="238"/>
      <c r="U78" s="380">
        <f>SUM(O78:T78)</f>
        <v>1</v>
      </c>
      <c r="V78" s="237">
        <f>U78*L78</f>
        <v>-202.5</v>
      </c>
    </row>
    <row r="79" spans="1:22" s="30" customFormat="1" ht="14" x14ac:dyDescent="0.15">
      <c r="A79" s="65"/>
      <c r="B79" s="84" t="s">
        <v>323</v>
      </c>
      <c r="C79" s="27"/>
      <c r="D79" s="113" t="s">
        <v>305</v>
      </c>
      <c r="E79" s="92"/>
      <c r="F79" s="92"/>
      <c r="G79" s="92"/>
      <c r="H79" s="92"/>
      <c r="I79" s="92"/>
      <c r="J79" s="94">
        <f>SUM(I80:I80)</f>
        <v>46.8</v>
      </c>
      <c r="K79" s="28">
        <f>+K18</f>
        <v>4.8499999999999996</v>
      </c>
      <c r="L79" s="73">
        <f>SUM(J79*K79)</f>
        <v>226.98</v>
      </c>
      <c r="M79" s="115"/>
      <c r="N79" s="39"/>
      <c r="O79" s="197">
        <v>0.05</v>
      </c>
      <c r="P79" s="436"/>
      <c r="Q79" s="238">
        <v>0.95</v>
      </c>
      <c r="R79" s="238"/>
      <c r="S79" s="234"/>
      <c r="T79" s="197"/>
      <c r="U79" s="207">
        <f>SUM(O79:T79)</f>
        <v>1</v>
      </c>
      <c r="V79" s="212">
        <f>U79*L79</f>
        <v>226.98</v>
      </c>
    </row>
    <row r="80" spans="1:22" x14ac:dyDescent="0.15">
      <c r="B80" s="114" t="s">
        <v>428</v>
      </c>
      <c r="E80" s="68">
        <v>1</v>
      </c>
      <c r="F80" s="67"/>
      <c r="G80" s="67"/>
      <c r="H80" s="67">
        <v>46.8</v>
      </c>
      <c r="I80" s="67">
        <f>SUM(E80*H80)</f>
        <v>46.8</v>
      </c>
      <c r="O80" s="197"/>
      <c r="P80" s="436"/>
      <c r="Q80" s="238"/>
      <c r="R80" s="238"/>
      <c r="S80" s="234"/>
      <c r="T80" s="197"/>
      <c r="U80" s="207"/>
      <c r="V80" s="189"/>
    </row>
    <row r="81" spans="1:22" x14ac:dyDescent="0.15">
      <c r="B81" s="292" t="s">
        <v>428</v>
      </c>
      <c r="C81" s="317"/>
      <c r="D81" s="318" t="s">
        <v>304</v>
      </c>
      <c r="E81" s="288">
        <v>-1</v>
      </c>
      <c r="F81" s="286"/>
      <c r="G81" s="286"/>
      <c r="H81" s="286">
        <v>46.8</v>
      </c>
      <c r="I81" s="286">
        <f>SUM(E81*H81)</f>
        <v>-46.8</v>
      </c>
      <c r="J81" s="295">
        <f>+I81</f>
        <v>-46.8</v>
      </c>
      <c r="K81" s="289">
        <f>+K79</f>
        <v>4.8499999999999996</v>
      </c>
      <c r="L81" s="290">
        <f>SUM(J81*K81)</f>
        <v>-226.98</v>
      </c>
      <c r="M81" s="319" t="s">
        <v>594</v>
      </c>
      <c r="N81" s="320"/>
      <c r="O81" s="238"/>
      <c r="P81" s="436"/>
      <c r="Q81" s="238">
        <v>1</v>
      </c>
      <c r="R81" s="238"/>
      <c r="S81" s="442"/>
      <c r="T81" s="238"/>
      <c r="U81" s="380">
        <f>SUM(O81:T81)</f>
        <v>1</v>
      </c>
      <c r="V81" s="237">
        <f>U81*L81</f>
        <v>-226.98</v>
      </c>
    </row>
    <row r="82" spans="1:22" s="30" customFormat="1" ht="14" x14ac:dyDescent="0.15">
      <c r="A82" s="65"/>
      <c r="B82" s="84" t="s">
        <v>316</v>
      </c>
      <c r="C82" s="27"/>
      <c r="D82" s="113" t="s">
        <v>297</v>
      </c>
      <c r="E82" s="92"/>
      <c r="F82" s="92"/>
      <c r="G82" s="92"/>
      <c r="H82" s="92"/>
      <c r="I82" s="92"/>
      <c r="J82" s="94">
        <f>SUM(I83:I83)</f>
        <v>1.7</v>
      </c>
      <c r="K82" s="28">
        <f>+K26</f>
        <v>12.36</v>
      </c>
      <c r="L82" s="73">
        <f>SUM(J82*K82)</f>
        <v>21.01</v>
      </c>
      <c r="M82" s="115" t="s">
        <v>326</v>
      </c>
      <c r="N82" s="39"/>
      <c r="O82" s="197">
        <v>0.05</v>
      </c>
      <c r="P82" s="436"/>
      <c r="Q82" s="238">
        <v>0.95</v>
      </c>
      <c r="R82" s="238"/>
      <c r="S82" s="234"/>
      <c r="T82" s="197"/>
      <c r="U82" s="207">
        <f>SUM(O82:T82)</f>
        <v>1</v>
      </c>
      <c r="V82" s="212">
        <f>U82*L82</f>
        <v>21.01</v>
      </c>
    </row>
    <row r="83" spans="1:22" x14ac:dyDescent="0.15">
      <c r="B83" s="114" t="s">
        <v>428</v>
      </c>
      <c r="E83" s="68">
        <v>1</v>
      </c>
      <c r="F83" s="67">
        <v>5.66</v>
      </c>
      <c r="G83" s="67">
        <v>0.3</v>
      </c>
      <c r="H83" s="67">
        <v>0.3</v>
      </c>
      <c r="I83" s="67">
        <f>SUM(E83*F83*G83)</f>
        <v>1.7</v>
      </c>
      <c r="O83" s="197"/>
      <c r="P83" s="436"/>
      <c r="Q83" s="238"/>
      <c r="R83" s="238"/>
      <c r="S83" s="234"/>
      <c r="T83" s="197"/>
      <c r="U83" s="207"/>
      <c r="V83" s="189"/>
    </row>
    <row r="84" spans="1:22" x14ac:dyDescent="0.15">
      <c r="B84" s="292" t="s">
        <v>428</v>
      </c>
      <c r="C84" s="317"/>
      <c r="D84" s="318" t="s">
        <v>304</v>
      </c>
      <c r="E84" s="288">
        <v>-1</v>
      </c>
      <c r="F84" s="286">
        <v>5.66</v>
      </c>
      <c r="G84" s="286">
        <v>0.3</v>
      </c>
      <c r="H84" s="286">
        <v>0.3</v>
      </c>
      <c r="I84" s="286">
        <f>SUM(E84*F84*G84)</f>
        <v>-1.7</v>
      </c>
      <c r="J84" s="295">
        <f>+I84</f>
        <v>-1.7</v>
      </c>
      <c r="K84" s="289">
        <f>+K82</f>
        <v>12.36</v>
      </c>
      <c r="L84" s="290">
        <f>SUM(J84*K84)</f>
        <v>-21.01</v>
      </c>
      <c r="M84" s="319" t="s">
        <v>594</v>
      </c>
      <c r="N84" s="320"/>
      <c r="O84" s="238"/>
      <c r="P84" s="436"/>
      <c r="Q84" s="238">
        <v>1</v>
      </c>
      <c r="R84" s="238"/>
      <c r="S84" s="442"/>
      <c r="T84" s="238"/>
      <c r="U84" s="380">
        <f>SUM(O84:T84)</f>
        <v>1</v>
      </c>
      <c r="V84" s="237">
        <f>U84*L84</f>
        <v>-21.01</v>
      </c>
    </row>
    <row r="85" spans="1:22" s="30" customFormat="1" ht="14" x14ac:dyDescent="0.15">
      <c r="A85" s="65" t="s">
        <v>319</v>
      </c>
      <c r="B85" s="84" t="s">
        <v>322</v>
      </c>
      <c r="C85" s="27"/>
      <c r="D85" s="113" t="s">
        <v>304</v>
      </c>
      <c r="E85" s="92"/>
      <c r="F85" s="92"/>
      <c r="G85" s="92"/>
      <c r="H85" s="92"/>
      <c r="I85" s="92"/>
      <c r="J85" s="94">
        <f>SUM(I86:I86)</f>
        <v>3.96</v>
      </c>
      <c r="K85" s="28">
        <f>+K33</f>
        <v>313.76</v>
      </c>
      <c r="L85" s="73">
        <f>SUM(J85*K85)</f>
        <v>1242.49</v>
      </c>
      <c r="M85" s="285" t="s">
        <v>548</v>
      </c>
      <c r="N85" s="39"/>
      <c r="O85" s="197">
        <v>0.05</v>
      </c>
      <c r="P85" s="436"/>
      <c r="Q85" s="238">
        <v>0.95</v>
      </c>
      <c r="R85" s="238"/>
      <c r="S85" s="234"/>
      <c r="T85" s="197"/>
      <c r="U85" s="207">
        <f>SUM(O85:T85)</f>
        <v>1</v>
      </c>
      <c r="V85" s="212">
        <f>U85*L85</f>
        <v>1242.49</v>
      </c>
    </row>
    <row r="86" spans="1:22" x14ac:dyDescent="0.15">
      <c r="B86" s="114" t="s">
        <v>429</v>
      </c>
      <c r="E86" s="68">
        <v>1</v>
      </c>
      <c r="F86" s="67">
        <v>26.4</v>
      </c>
      <c r="G86" s="67"/>
      <c r="H86" s="67">
        <v>0.15</v>
      </c>
      <c r="I86" s="67">
        <f>SUM(E86*F86*H86)</f>
        <v>3.96</v>
      </c>
      <c r="O86" s="197"/>
      <c r="P86" s="436"/>
      <c r="Q86" s="238"/>
      <c r="R86" s="238"/>
      <c r="S86" s="234"/>
      <c r="T86" s="197"/>
      <c r="U86" s="207"/>
      <c r="V86" s="189"/>
    </row>
    <row r="87" spans="1:22" s="30" customFormat="1" ht="14" x14ac:dyDescent="0.15">
      <c r="A87" s="65"/>
      <c r="B87" s="84" t="s">
        <v>317</v>
      </c>
      <c r="C87" s="27"/>
      <c r="D87" s="113" t="s">
        <v>297</v>
      </c>
      <c r="E87" s="92"/>
      <c r="F87" s="92"/>
      <c r="G87" s="92"/>
      <c r="H87" s="92"/>
      <c r="I87" s="92"/>
      <c r="J87" s="94">
        <f>SUM(I88:I88)</f>
        <v>0</v>
      </c>
      <c r="K87" s="28">
        <f>+K37</f>
        <v>59.56</v>
      </c>
      <c r="L87" s="73">
        <f>SUM(J87*K87)</f>
        <v>0</v>
      </c>
      <c r="M87" s="285" t="s">
        <v>548</v>
      </c>
      <c r="N87" s="39"/>
      <c r="O87" s="197"/>
      <c r="P87" s="436"/>
      <c r="Q87" s="238"/>
      <c r="R87" s="238"/>
      <c r="S87" s="234"/>
      <c r="T87" s="197"/>
      <c r="U87" s="207"/>
      <c r="V87" s="212"/>
    </row>
    <row r="88" spans="1:22" x14ac:dyDescent="0.15">
      <c r="B88" s="114" t="s">
        <v>429</v>
      </c>
      <c r="E88" s="68"/>
      <c r="F88" s="67"/>
      <c r="G88" s="67"/>
      <c r="H88" s="67"/>
      <c r="I88" s="67"/>
      <c r="O88" s="197"/>
      <c r="P88" s="436"/>
      <c r="Q88" s="238"/>
      <c r="R88" s="238"/>
      <c r="S88" s="234"/>
      <c r="T88" s="197"/>
      <c r="U88" s="207"/>
      <c r="V88" s="189"/>
    </row>
    <row r="89" spans="1:22" s="30" customFormat="1" ht="14" x14ac:dyDescent="0.15">
      <c r="A89" s="65"/>
      <c r="B89" s="84" t="s">
        <v>323</v>
      </c>
      <c r="C89" s="27"/>
      <c r="D89" s="113" t="s">
        <v>305</v>
      </c>
      <c r="E89" s="92"/>
      <c r="F89" s="92"/>
      <c r="G89" s="92"/>
      <c r="H89" s="92"/>
      <c r="I89" s="92"/>
      <c r="J89" s="94">
        <f>SUM(I90:I90)</f>
        <v>24.9</v>
      </c>
      <c r="K89" s="28">
        <f>+K41</f>
        <v>4.8499999999999996</v>
      </c>
      <c r="L89" s="73">
        <f>SUM(J89*K89)</f>
        <v>120.77</v>
      </c>
      <c r="M89" s="285" t="s">
        <v>548</v>
      </c>
      <c r="N89" s="39"/>
      <c r="O89" s="197">
        <v>0.05</v>
      </c>
      <c r="P89" s="436"/>
      <c r="Q89" s="238">
        <v>0.95</v>
      </c>
      <c r="R89" s="238"/>
      <c r="S89" s="234"/>
      <c r="T89" s="197"/>
      <c r="U89" s="207">
        <f>SUM(O89:T89)</f>
        <v>1</v>
      </c>
      <c r="V89" s="212">
        <f>U89*L89</f>
        <v>120.77</v>
      </c>
    </row>
    <row r="90" spans="1:22" x14ac:dyDescent="0.15">
      <c r="B90" s="114" t="s">
        <v>429</v>
      </c>
      <c r="E90" s="68">
        <v>1</v>
      </c>
      <c r="F90" s="67"/>
      <c r="G90" s="67"/>
      <c r="H90" s="67">
        <v>24.9</v>
      </c>
      <c r="I90" s="67">
        <f t="shared" ref="I90" si="29">SUM(E90*H90)</f>
        <v>24.9</v>
      </c>
      <c r="O90" s="197"/>
      <c r="P90" s="436"/>
      <c r="Q90" s="238"/>
      <c r="R90" s="238"/>
      <c r="S90" s="234"/>
      <c r="T90" s="197"/>
      <c r="U90" s="207"/>
      <c r="V90" s="189"/>
    </row>
    <row r="91" spans="1:22" s="30" customFormat="1" ht="14" x14ac:dyDescent="0.15">
      <c r="A91" s="65"/>
      <c r="B91" s="84" t="s">
        <v>324</v>
      </c>
      <c r="C91" s="27"/>
      <c r="D91" s="113" t="s">
        <v>305</v>
      </c>
      <c r="E91" s="92"/>
      <c r="F91" s="92"/>
      <c r="G91" s="92"/>
      <c r="H91" s="92"/>
      <c r="I91" s="92"/>
      <c r="J91" s="94">
        <f>SUM(I92:I92)</f>
        <v>297.5</v>
      </c>
      <c r="K91" s="28">
        <f>+K46</f>
        <v>4.05</v>
      </c>
      <c r="L91" s="73">
        <f>SUM(J91*K91)</f>
        <v>1204.8800000000001</v>
      </c>
      <c r="M91" s="285" t="s">
        <v>548</v>
      </c>
      <c r="N91" s="39"/>
      <c r="O91" s="197">
        <v>0.05</v>
      </c>
      <c r="P91" s="436"/>
      <c r="Q91" s="238">
        <v>0.95</v>
      </c>
      <c r="R91" s="238"/>
      <c r="S91" s="234"/>
      <c r="T91" s="197"/>
      <c r="U91" s="207">
        <f>SUM(O91:T91)</f>
        <v>1</v>
      </c>
      <c r="V91" s="212">
        <f>U91*L91</f>
        <v>1204.8800000000001</v>
      </c>
    </row>
    <row r="92" spans="1:22" x14ac:dyDescent="0.15">
      <c r="B92" s="114" t="s">
        <v>429</v>
      </c>
      <c r="E92" s="68">
        <v>1</v>
      </c>
      <c r="F92" s="67"/>
      <c r="G92" s="67"/>
      <c r="H92" s="67">
        <v>297.5</v>
      </c>
      <c r="I92" s="67">
        <f t="shared" ref="I92" si="30">SUM(E92*H92)</f>
        <v>297.5</v>
      </c>
      <c r="O92" s="197"/>
      <c r="P92" s="436"/>
      <c r="Q92" s="238"/>
      <c r="R92" s="238"/>
      <c r="S92" s="234"/>
      <c r="T92" s="197"/>
      <c r="U92" s="207"/>
      <c r="V92" s="189"/>
    </row>
    <row r="93" spans="1:22" s="30" customFormat="1" ht="14" x14ac:dyDescent="0.15">
      <c r="A93" s="65"/>
      <c r="B93" s="84" t="s">
        <v>316</v>
      </c>
      <c r="C93" s="27"/>
      <c r="D93" s="113" t="s">
        <v>297</v>
      </c>
      <c r="E93" s="92"/>
      <c r="F93" s="92"/>
      <c r="G93" s="92"/>
      <c r="H93" s="92"/>
      <c r="I93" s="92"/>
      <c r="J93" s="94">
        <f>SUM(I94:I94)</f>
        <v>26.4</v>
      </c>
      <c r="K93" s="28">
        <f>+K50</f>
        <v>12.36</v>
      </c>
      <c r="L93" s="73">
        <f>SUM(J93*K93)</f>
        <v>326.3</v>
      </c>
      <c r="M93" s="115" t="str">
        <f>+M82</f>
        <v>Epaisseur 5 cm</v>
      </c>
      <c r="N93" s="39"/>
      <c r="O93" s="197">
        <v>0.05</v>
      </c>
      <c r="P93" s="436"/>
      <c r="Q93" s="238">
        <v>0.95</v>
      </c>
      <c r="R93" s="238"/>
      <c r="S93" s="234"/>
      <c r="T93" s="197"/>
      <c r="U93" s="207">
        <f>SUM(O93:T93)</f>
        <v>1</v>
      </c>
      <c r="V93" s="212">
        <f>U93*L93</f>
        <v>326.3</v>
      </c>
    </row>
    <row r="94" spans="1:22" x14ac:dyDescent="0.15">
      <c r="B94" s="114" t="s">
        <v>429</v>
      </c>
      <c r="E94" s="68">
        <v>1</v>
      </c>
      <c r="F94" s="67">
        <v>26.4</v>
      </c>
      <c r="G94" s="67"/>
      <c r="H94" s="67">
        <v>0.15</v>
      </c>
      <c r="I94" s="67">
        <f>SUM(E94*F94)</f>
        <v>26.4</v>
      </c>
      <c r="M94" s="285" t="s">
        <v>548</v>
      </c>
      <c r="O94" s="197"/>
      <c r="P94" s="436"/>
      <c r="Q94" s="238"/>
      <c r="R94" s="238"/>
      <c r="S94" s="234"/>
      <c r="T94" s="197"/>
      <c r="U94" s="207"/>
      <c r="V94" s="189"/>
    </row>
    <row r="95" spans="1:22" s="30" customFormat="1" ht="14" x14ac:dyDescent="0.15">
      <c r="A95" s="65"/>
      <c r="B95" s="84" t="s">
        <v>448</v>
      </c>
      <c r="C95" s="27"/>
      <c r="D95" s="113" t="s">
        <v>308</v>
      </c>
      <c r="E95" s="92"/>
      <c r="F95" s="92"/>
      <c r="G95" s="92"/>
      <c r="H95" s="92"/>
      <c r="I95" s="92"/>
      <c r="J95" s="94">
        <v>14</v>
      </c>
      <c r="K95" s="28">
        <f>+K54</f>
        <v>75</v>
      </c>
      <c r="L95" s="73">
        <f>SUM(J95*K95)</f>
        <v>1050</v>
      </c>
      <c r="M95" s="115"/>
      <c r="N95" s="39"/>
      <c r="O95" s="238">
        <v>0.05</v>
      </c>
      <c r="P95" s="436"/>
      <c r="Q95" s="238">
        <v>0.95</v>
      </c>
      <c r="R95" s="238"/>
      <c r="S95" s="234"/>
      <c r="T95" s="197"/>
      <c r="U95" s="207">
        <f t="shared" ref="U95:U96" si="31">SUM(O95:T95)</f>
        <v>1</v>
      </c>
      <c r="V95" s="212">
        <f t="shared" ref="V95:V96" si="32">U95*L95</f>
        <v>1050</v>
      </c>
    </row>
    <row r="96" spans="1:22" s="30" customFormat="1" ht="14" x14ac:dyDescent="0.15">
      <c r="A96" s="65" t="s">
        <v>327</v>
      </c>
      <c r="B96" s="84" t="s">
        <v>328</v>
      </c>
      <c r="C96" s="27"/>
      <c r="D96" s="113" t="s">
        <v>305</v>
      </c>
      <c r="E96" s="92"/>
      <c r="F96" s="92"/>
      <c r="G96" s="92"/>
      <c r="H96" s="92"/>
      <c r="I96" s="92"/>
      <c r="J96" s="94">
        <f>SUM(I97:I107)</f>
        <v>1664.99</v>
      </c>
      <c r="K96" s="28">
        <f>+K56</f>
        <v>5.8</v>
      </c>
      <c r="L96" s="73">
        <f>SUM(J96*K96)</f>
        <v>9656.94</v>
      </c>
      <c r="M96" s="115" t="s">
        <v>331</v>
      </c>
      <c r="N96" s="39"/>
      <c r="O96" s="197">
        <v>0.05</v>
      </c>
      <c r="P96" s="436"/>
      <c r="Q96" s="238">
        <v>0.6</v>
      </c>
      <c r="R96" s="238">
        <v>0.35</v>
      </c>
      <c r="S96" s="234"/>
      <c r="T96" s="197"/>
      <c r="U96" s="207">
        <f t="shared" si="31"/>
        <v>1</v>
      </c>
      <c r="V96" s="212">
        <f t="shared" si="32"/>
        <v>9656.94</v>
      </c>
    </row>
    <row r="97" spans="1:22" x14ac:dyDescent="0.15">
      <c r="B97" s="114" t="s">
        <v>430</v>
      </c>
      <c r="E97" s="67">
        <v>1.1499999999999999</v>
      </c>
      <c r="F97" s="67"/>
      <c r="G97" s="67"/>
      <c r="H97" s="67">
        <v>364.8</v>
      </c>
      <c r="I97" s="67">
        <f>SUM(E97*H97)</f>
        <v>419.52</v>
      </c>
      <c r="N97" s="291" t="s">
        <v>675</v>
      </c>
      <c r="O97" s="197"/>
      <c r="P97" s="436"/>
      <c r="Q97" s="238"/>
      <c r="R97" s="238"/>
      <c r="S97" s="234"/>
      <c r="T97" s="197"/>
      <c r="U97" s="207"/>
      <c r="V97" s="189"/>
    </row>
    <row r="98" spans="1:22" x14ac:dyDescent="0.15">
      <c r="B98" s="114" t="s">
        <v>431</v>
      </c>
      <c r="E98" s="67">
        <v>1.1499999999999999</v>
      </c>
      <c r="F98" s="75"/>
      <c r="G98" s="67"/>
      <c r="H98" s="67">
        <v>52.9</v>
      </c>
      <c r="I98" s="67">
        <f>SUM(E98*H98)</f>
        <v>60.84</v>
      </c>
      <c r="K98" s="322"/>
      <c r="N98" s="291" t="s">
        <v>659</v>
      </c>
      <c r="O98" s="197"/>
      <c r="P98" s="436"/>
      <c r="Q98" s="238"/>
      <c r="R98" s="238"/>
      <c r="S98" s="234"/>
      <c r="T98" s="197"/>
      <c r="U98" s="207"/>
      <c r="V98" s="189"/>
    </row>
    <row r="99" spans="1:22" ht="24" x14ac:dyDescent="0.15">
      <c r="B99" s="114" t="s">
        <v>432</v>
      </c>
      <c r="E99" s="67">
        <v>1.1499999999999999</v>
      </c>
      <c r="F99" s="67"/>
      <c r="G99" s="67"/>
      <c r="H99" s="67">
        <v>61.8</v>
      </c>
      <c r="I99" s="67">
        <f>SUM(E99*H99)</f>
        <v>71.069999999999993</v>
      </c>
      <c r="K99" s="325"/>
      <c r="M99" s="285" t="s">
        <v>604</v>
      </c>
      <c r="N99" s="291" t="s">
        <v>659</v>
      </c>
      <c r="O99" s="197"/>
      <c r="P99" s="436"/>
      <c r="Q99" s="238"/>
      <c r="R99" s="238"/>
      <c r="S99" s="234"/>
      <c r="T99" s="197"/>
      <c r="U99" s="207"/>
      <c r="V99" s="189"/>
    </row>
    <row r="100" spans="1:22" x14ac:dyDescent="0.15">
      <c r="B100" s="114" t="s">
        <v>433</v>
      </c>
      <c r="E100" s="67">
        <v>1.1499999999999999</v>
      </c>
      <c r="F100" s="75"/>
      <c r="G100" s="67"/>
      <c r="H100" s="67">
        <v>208</v>
      </c>
      <c r="I100" s="67">
        <f>SUM(E100*H100)</f>
        <v>239.2</v>
      </c>
      <c r="M100" s="285" t="s">
        <v>600</v>
      </c>
      <c r="O100" s="197"/>
      <c r="P100" s="436"/>
      <c r="Q100" s="238"/>
      <c r="R100" s="238"/>
      <c r="S100" s="234"/>
      <c r="T100" s="197"/>
      <c r="U100" s="207"/>
      <c r="V100" s="189"/>
    </row>
    <row r="101" spans="1:22" x14ac:dyDescent="0.15">
      <c r="B101" s="114" t="s">
        <v>438</v>
      </c>
      <c r="E101" s="67">
        <v>1.1499999999999999</v>
      </c>
      <c r="F101" s="75"/>
      <c r="G101" s="67"/>
      <c r="H101" s="67">
        <v>375.8</v>
      </c>
      <c r="I101" s="67">
        <f t="shared" ref="I101:I103" si="33">SUM(E101*H101)</f>
        <v>432.17</v>
      </c>
      <c r="M101" s="285" t="s">
        <v>600</v>
      </c>
      <c r="O101" s="197"/>
      <c r="P101" s="436"/>
      <c r="Q101" s="238"/>
      <c r="R101" s="238"/>
      <c r="S101" s="234"/>
      <c r="T101" s="197"/>
      <c r="U101" s="207"/>
      <c r="V101" s="189"/>
    </row>
    <row r="102" spans="1:22" x14ac:dyDescent="0.15">
      <c r="B102" s="114" t="s">
        <v>439</v>
      </c>
      <c r="E102" s="67">
        <v>1.1499999999999999</v>
      </c>
      <c r="F102" s="75"/>
      <c r="G102" s="67"/>
      <c r="H102" s="67">
        <v>87.9</v>
      </c>
      <c r="I102" s="67">
        <f t="shared" si="33"/>
        <v>101.09</v>
      </c>
      <c r="M102" s="285" t="s">
        <v>600</v>
      </c>
      <c r="O102" s="197"/>
      <c r="P102" s="436"/>
      <c r="Q102" s="238"/>
      <c r="R102" s="238"/>
      <c r="S102" s="234"/>
      <c r="T102" s="197"/>
      <c r="U102" s="207"/>
      <c r="V102" s="189"/>
    </row>
    <row r="103" spans="1:22" x14ac:dyDescent="0.15">
      <c r="B103" s="114" t="s">
        <v>440</v>
      </c>
      <c r="E103" s="67">
        <v>1.1499999999999999</v>
      </c>
      <c r="F103" s="75"/>
      <c r="G103" s="67"/>
      <c r="H103" s="67">
        <v>52.9</v>
      </c>
      <c r="I103" s="67">
        <f t="shared" si="33"/>
        <v>60.84</v>
      </c>
      <c r="M103" s="285" t="s">
        <v>600</v>
      </c>
      <c r="O103" s="197"/>
      <c r="P103" s="436"/>
      <c r="Q103" s="238"/>
      <c r="R103" s="238"/>
      <c r="S103" s="234"/>
      <c r="T103" s="197"/>
      <c r="U103" s="207"/>
      <c r="V103" s="189"/>
    </row>
    <row r="104" spans="1:22" x14ac:dyDescent="0.15">
      <c r="B104" s="114" t="s">
        <v>444</v>
      </c>
      <c r="E104" s="67">
        <v>1.1499999999999999</v>
      </c>
      <c r="F104" s="75"/>
      <c r="G104" s="67"/>
      <c r="H104" s="67">
        <v>31.6</v>
      </c>
      <c r="I104" s="67">
        <f t="shared" ref="I104:I107" si="34">SUM(E104*H104)</f>
        <v>36.340000000000003</v>
      </c>
      <c r="M104" s="285" t="s">
        <v>600</v>
      </c>
      <c r="O104" s="197"/>
      <c r="P104" s="436"/>
      <c r="Q104" s="238"/>
      <c r="R104" s="238"/>
      <c r="S104" s="234"/>
      <c r="T104" s="197"/>
      <c r="U104" s="207"/>
      <c r="V104" s="189"/>
    </row>
    <row r="105" spans="1:22" x14ac:dyDescent="0.15">
      <c r="B105" s="114" t="s">
        <v>445</v>
      </c>
      <c r="E105" s="67">
        <v>1.1499999999999999</v>
      </c>
      <c r="F105" s="75"/>
      <c r="G105" s="67"/>
      <c r="H105" s="67">
        <v>36.6</v>
      </c>
      <c r="I105" s="67">
        <f t="shared" si="34"/>
        <v>42.09</v>
      </c>
      <c r="M105" s="285" t="s">
        <v>600</v>
      </c>
      <c r="O105" s="197"/>
      <c r="P105" s="436"/>
      <c r="Q105" s="238"/>
      <c r="R105" s="238"/>
      <c r="S105" s="234"/>
      <c r="T105" s="197"/>
      <c r="U105" s="207"/>
      <c r="V105" s="189"/>
    </row>
    <row r="106" spans="1:22" x14ac:dyDescent="0.15">
      <c r="B106" s="114" t="s">
        <v>446</v>
      </c>
      <c r="E106" s="67">
        <v>1.1499999999999999</v>
      </c>
      <c r="F106" s="75"/>
      <c r="G106" s="67"/>
      <c r="H106" s="67">
        <v>64.3</v>
      </c>
      <c r="I106" s="67">
        <f t="shared" si="34"/>
        <v>73.95</v>
      </c>
      <c r="M106" s="285" t="s">
        <v>600</v>
      </c>
      <c r="O106" s="197"/>
      <c r="P106" s="436"/>
      <c r="Q106" s="238"/>
      <c r="R106" s="238"/>
      <c r="S106" s="234"/>
      <c r="T106" s="197"/>
      <c r="U106" s="207"/>
      <c r="V106" s="189"/>
    </row>
    <row r="107" spans="1:22" ht="13.5" customHeight="1" x14ac:dyDescent="0.15">
      <c r="B107" s="114" t="s">
        <v>447</v>
      </c>
      <c r="E107" s="67">
        <v>1.1499999999999999</v>
      </c>
      <c r="F107" s="75"/>
      <c r="G107" s="67"/>
      <c r="H107" s="67">
        <v>111.2</v>
      </c>
      <c r="I107" s="67">
        <f t="shared" si="34"/>
        <v>127.88</v>
      </c>
      <c r="M107" s="285" t="s">
        <v>600</v>
      </c>
      <c r="O107" s="197"/>
      <c r="P107" s="436"/>
      <c r="Q107" s="238"/>
      <c r="R107" s="238"/>
      <c r="S107" s="234"/>
      <c r="T107" s="197"/>
      <c r="U107" s="207"/>
      <c r="V107" s="189"/>
    </row>
    <row r="108" spans="1:22" s="30" customFormat="1" ht="14" x14ac:dyDescent="0.15">
      <c r="A108" s="65" t="s">
        <v>334</v>
      </c>
      <c r="B108" s="84" t="s">
        <v>335</v>
      </c>
      <c r="C108" s="27"/>
      <c r="D108" s="113" t="s">
        <v>308</v>
      </c>
      <c r="E108" s="92"/>
      <c r="F108" s="92"/>
      <c r="G108" s="92"/>
      <c r="H108" s="92"/>
      <c r="I108" s="92"/>
      <c r="J108" s="94">
        <f>SUM(I109:I115)</f>
        <v>13</v>
      </c>
      <c r="K108" s="28">
        <f>+K68</f>
        <v>125</v>
      </c>
      <c r="L108" s="73">
        <f>SUM(J108*K108)</f>
        <v>1625</v>
      </c>
      <c r="M108" s="115"/>
      <c r="N108" s="39"/>
      <c r="O108" s="197">
        <v>0.05</v>
      </c>
      <c r="P108" s="436"/>
      <c r="Q108" s="238">
        <v>0.65</v>
      </c>
      <c r="R108" s="238">
        <v>0.3</v>
      </c>
      <c r="S108" s="234"/>
      <c r="T108" s="197"/>
      <c r="U108" s="207">
        <f>SUM(O108:T108)</f>
        <v>1</v>
      </c>
      <c r="V108" s="212">
        <f>U108*L108</f>
        <v>1625</v>
      </c>
    </row>
    <row r="109" spans="1:22" x14ac:dyDescent="0.15">
      <c r="B109" s="114" t="s">
        <v>434</v>
      </c>
      <c r="E109" s="68">
        <v>1</v>
      </c>
      <c r="F109" s="67">
        <v>0.35</v>
      </c>
      <c r="G109" s="67">
        <v>0.19</v>
      </c>
      <c r="H109" s="67">
        <v>0.19</v>
      </c>
      <c r="I109" s="67">
        <f>+E109</f>
        <v>1</v>
      </c>
      <c r="N109" s="291" t="s">
        <v>659</v>
      </c>
      <c r="O109" s="197"/>
      <c r="P109" s="436"/>
      <c r="Q109" s="238"/>
      <c r="R109" s="238"/>
      <c r="S109" s="234"/>
      <c r="T109" s="197"/>
      <c r="U109" s="207"/>
      <c r="V109" s="189"/>
    </row>
    <row r="110" spans="1:22" x14ac:dyDescent="0.15">
      <c r="B110" s="114" t="s">
        <v>435</v>
      </c>
      <c r="E110" s="68">
        <v>1</v>
      </c>
      <c r="F110" s="67">
        <v>0.25</v>
      </c>
      <c r="G110" s="67">
        <v>0.14000000000000001</v>
      </c>
      <c r="H110" s="67">
        <v>0.19</v>
      </c>
      <c r="I110" s="67">
        <f>+E110</f>
        <v>1</v>
      </c>
      <c r="N110" s="291" t="s">
        <v>659</v>
      </c>
      <c r="O110" s="197"/>
      <c r="P110" s="436"/>
      <c r="Q110" s="238"/>
      <c r="R110" s="238"/>
      <c r="S110" s="234"/>
      <c r="T110" s="197"/>
      <c r="U110" s="207"/>
      <c r="V110" s="189"/>
    </row>
    <row r="111" spans="1:22" ht="24" x14ac:dyDescent="0.15">
      <c r="B111" s="114" t="s">
        <v>436</v>
      </c>
      <c r="E111" s="68">
        <v>2</v>
      </c>
      <c r="F111" s="67">
        <v>0.35</v>
      </c>
      <c r="G111" s="67">
        <v>0.19</v>
      </c>
      <c r="H111" s="67">
        <v>0.19</v>
      </c>
      <c r="I111" s="67">
        <f t="shared" ref="I111:I112" si="35">+E111</f>
        <v>2</v>
      </c>
      <c r="M111" s="285" t="s">
        <v>604</v>
      </c>
      <c r="N111" s="291" t="s">
        <v>659</v>
      </c>
      <c r="O111" s="197"/>
      <c r="P111" s="436"/>
      <c r="Q111" s="238"/>
      <c r="R111" s="238"/>
      <c r="S111" s="234"/>
      <c r="T111" s="197"/>
      <c r="U111" s="207"/>
      <c r="V111" s="189"/>
    </row>
    <row r="112" spans="1:22" x14ac:dyDescent="0.15">
      <c r="B112" s="114" t="s">
        <v>437</v>
      </c>
      <c r="E112" s="68">
        <v>2</v>
      </c>
      <c r="F112" s="67">
        <v>0.4</v>
      </c>
      <c r="G112" s="67">
        <v>0.19</v>
      </c>
      <c r="H112" s="67">
        <v>0.19</v>
      </c>
      <c r="I112" s="67">
        <f t="shared" si="35"/>
        <v>2</v>
      </c>
      <c r="M112" s="285" t="s">
        <v>600</v>
      </c>
      <c r="O112" s="197"/>
      <c r="P112" s="436"/>
      <c r="Q112" s="238"/>
      <c r="R112" s="238"/>
      <c r="S112" s="234"/>
      <c r="T112" s="197"/>
      <c r="U112" s="207"/>
      <c r="V112" s="189"/>
    </row>
    <row r="113" spans="1:45" x14ac:dyDescent="0.15">
      <c r="B113" s="114" t="s">
        <v>441</v>
      </c>
      <c r="E113" s="68">
        <v>1</v>
      </c>
      <c r="F113" s="67">
        <v>0.25</v>
      </c>
      <c r="G113" s="67">
        <v>0.14000000000000001</v>
      </c>
      <c r="H113" s="67">
        <v>0.19</v>
      </c>
      <c r="I113" s="67">
        <f t="shared" ref="I113:I115" si="36">+E113</f>
        <v>1</v>
      </c>
      <c r="M113" s="285" t="s">
        <v>600</v>
      </c>
      <c r="O113" s="197"/>
      <c r="P113" s="436"/>
      <c r="Q113" s="238"/>
      <c r="R113" s="238"/>
      <c r="S113" s="234"/>
      <c r="T113" s="197"/>
      <c r="U113" s="207"/>
      <c r="V113" s="189"/>
    </row>
    <row r="114" spans="1:45" x14ac:dyDescent="0.15">
      <c r="B114" s="114" t="s">
        <v>442</v>
      </c>
      <c r="E114" s="68">
        <v>4</v>
      </c>
      <c r="F114" s="67">
        <v>0.2</v>
      </c>
      <c r="G114" s="67">
        <v>0.14000000000000001</v>
      </c>
      <c r="H114" s="67">
        <v>0.19</v>
      </c>
      <c r="I114" s="67">
        <f t="shared" si="36"/>
        <v>4</v>
      </c>
      <c r="M114" s="285" t="s">
        <v>600</v>
      </c>
      <c r="O114" s="197"/>
      <c r="P114" s="436"/>
      <c r="Q114" s="238"/>
      <c r="R114" s="238"/>
      <c r="S114" s="234"/>
      <c r="T114" s="197"/>
      <c r="U114" s="207"/>
      <c r="V114" s="189"/>
    </row>
    <row r="115" spans="1:45" x14ac:dyDescent="0.15">
      <c r="B115" s="114" t="s">
        <v>443</v>
      </c>
      <c r="E115" s="68">
        <v>2</v>
      </c>
      <c r="F115" s="67">
        <v>0.2</v>
      </c>
      <c r="G115" s="67">
        <v>0.19</v>
      </c>
      <c r="H115" s="67">
        <v>0.19</v>
      </c>
      <c r="I115" s="67">
        <f t="shared" si="36"/>
        <v>2</v>
      </c>
      <c r="M115" s="285" t="s">
        <v>600</v>
      </c>
      <c r="O115" s="197"/>
      <c r="P115" s="436"/>
      <c r="Q115" s="238"/>
      <c r="R115" s="238"/>
      <c r="S115" s="234"/>
      <c r="T115" s="197"/>
      <c r="U115" s="207"/>
      <c r="V115" s="189"/>
    </row>
    <row r="116" spans="1:45" ht="14" thickBot="1" x14ac:dyDescent="0.2">
      <c r="O116" s="197"/>
      <c r="P116" s="436"/>
      <c r="Q116" s="238"/>
      <c r="R116" s="238"/>
      <c r="S116" s="234"/>
      <c r="T116" s="197"/>
      <c r="U116" s="207"/>
      <c r="V116" s="189"/>
    </row>
    <row r="117" spans="1:45" s="25" customFormat="1" ht="14" thickBot="1" x14ac:dyDescent="0.2">
      <c r="A117" s="46" t="s">
        <v>336</v>
      </c>
      <c r="B117" s="47"/>
      <c r="C117" s="78"/>
      <c r="D117" s="79"/>
      <c r="E117" s="51"/>
      <c r="F117" s="51"/>
      <c r="G117" s="51"/>
      <c r="H117" s="51"/>
      <c r="I117" s="51"/>
      <c r="J117" s="8"/>
      <c r="K117" s="8"/>
      <c r="L117" s="104"/>
      <c r="M117" s="117"/>
      <c r="N117"/>
      <c r="O117" s="197"/>
      <c r="P117" s="436"/>
      <c r="Q117" s="238"/>
      <c r="R117" s="238"/>
      <c r="S117" s="234"/>
      <c r="T117" s="197"/>
      <c r="U117" s="207"/>
      <c r="V117" s="189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</row>
    <row r="118" spans="1:45" x14ac:dyDescent="0.15">
      <c r="O118" s="197"/>
      <c r="P118" s="436"/>
      <c r="Q118" s="238"/>
      <c r="R118" s="238"/>
      <c r="S118" s="234"/>
      <c r="T118" s="197"/>
      <c r="U118" s="207"/>
      <c r="V118" s="189"/>
    </row>
    <row r="119" spans="1:45" s="30" customFormat="1" ht="14" x14ac:dyDescent="0.15">
      <c r="A119" s="65" t="s">
        <v>337</v>
      </c>
      <c r="B119" s="84" t="s">
        <v>315</v>
      </c>
      <c r="C119" s="27"/>
      <c r="D119" s="113" t="s">
        <v>304</v>
      </c>
      <c r="E119" s="92"/>
      <c r="F119" s="92"/>
      <c r="G119" s="92"/>
      <c r="H119" s="92"/>
      <c r="I119" s="92"/>
      <c r="J119" s="94">
        <f>SUM(I120:I123)</f>
        <v>2.46</v>
      </c>
      <c r="K119" s="28">
        <v>296.88</v>
      </c>
      <c r="L119" s="73">
        <f>SUM(J119*K119)</f>
        <v>730.32</v>
      </c>
      <c r="M119" s="115"/>
      <c r="N119" s="135"/>
      <c r="O119" s="197">
        <v>0.05</v>
      </c>
      <c r="P119" s="436"/>
      <c r="Q119" s="238">
        <v>0.95</v>
      </c>
      <c r="R119" s="238"/>
      <c r="S119" s="234"/>
      <c r="T119" s="197"/>
      <c r="U119" s="207">
        <f>SUM(O119:T119)</f>
        <v>1</v>
      </c>
      <c r="V119" s="212">
        <f>U119*L119</f>
        <v>730.32</v>
      </c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</row>
    <row r="120" spans="1:45" x14ac:dyDescent="0.15">
      <c r="B120" s="114" t="s">
        <v>340</v>
      </c>
      <c r="E120" s="68">
        <v>1</v>
      </c>
      <c r="F120" s="67">
        <v>13.3</v>
      </c>
      <c r="G120" s="67">
        <v>0.5</v>
      </c>
      <c r="H120" s="67">
        <v>0.15</v>
      </c>
      <c r="I120" s="67">
        <f t="shared" ref="I120:I123" si="37">SUM(E120*F120*G120*H120)</f>
        <v>1</v>
      </c>
      <c r="O120" s="197"/>
      <c r="P120" s="436"/>
      <c r="Q120" s="238"/>
      <c r="R120" s="238"/>
      <c r="S120" s="234"/>
      <c r="T120" s="197"/>
      <c r="U120" s="207"/>
      <c r="V120" s="189"/>
    </row>
    <row r="121" spans="1:45" x14ac:dyDescent="0.15">
      <c r="B121" s="114" t="s">
        <v>341</v>
      </c>
      <c r="E121" s="68">
        <v>1</v>
      </c>
      <c r="F121" s="67">
        <v>1.5</v>
      </c>
      <c r="G121" s="67">
        <v>0.5</v>
      </c>
      <c r="H121" s="67">
        <v>0.15</v>
      </c>
      <c r="I121" s="67">
        <f t="shared" si="37"/>
        <v>0.11</v>
      </c>
      <c r="O121" s="197"/>
      <c r="P121" s="436"/>
      <c r="Q121" s="238"/>
      <c r="R121" s="238"/>
      <c r="S121" s="234"/>
      <c r="T121" s="197"/>
      <c r="U121" s="207"/>
      <c r="V121" s="189"/>
    </row>
    <row r="122" spans="1:45" x14ac:dyDescent="0.15">
      <c r="B122" s="114" t="s">
        <v>342</v>
      </c>
      <c r="E122" s="68">
        <v>1</v>
      </c>
      <c r="F122" s="67">
        <v>2</v>
      </c>
      <c r="G122" s="67">
        <v>1.5</v>
      </c>
      <c r="H122" s="67">
        <v>0.1</v>
      </c>
      <c r="I122" s="67">
        <f t="shared" si="37"/>
        <v>0.3</v>
      </c>
      <c r="O122" s="197"/>
      <c r="P122" s="436"/>
      <c r="Q122" s="238"/>
      <c r="R122" s="238"/>
      <c r="S122" s="234"/>
      <c r="T122" s="197"/>
      <c r="U122" s="207"/>
      <c r="V122" s="189"/>
    </row>
    <row r="123" spans="1:45" x14ac:dyDescent="0.15">
      <c r="B123" s="114" t="s">
        <v>343</v>
      </c>
      <c r="E123" s="68">
        <v>1</v>
      </c>
      <c r="F123" s="67">
        <v>3.5</v>
      </c>
      <c r="G123" s="67">
        <v>3</v>
      </c>
      <c r="H123" s="67">
        <v>0.1</v>
      </c>
      <c r="I123" s="67">
        <f t="shared" si="37"/>
        <v>1.05</v>
      </c>
      <c r="O123" s="197"/>
      <c r="P123" s="436"/>
      <c r="Q123" s="238"/>
      <c r="R123" s="238"/>
      <c r="S123" s="234"/>
      <c r="T123" s="197"/>
      <c r="U123" s="207"/>
      <c r="V123" s="189"/>
    </row>
    <row r="124" spans="1:45" s="30" customFormat="1" ht="14" x14ac:dyDescent="0.15">
      <c r="A124" s="65"/>
      <c r="B124" s="84" t="s">
        <v>317</v>
      </c>
      <c r="C124" s="27"/>
      <c r="D124" s="113" t="s">
        <v>297</v>
      </c>
      <c r="E124" s="92"/>
      <c r="F124" s="92"/>
      <c r="G124" s="92"/>
      <c r="H124" s="92"/>
      <c r="I124" s="92"/>
      <c r="J124" s="94">
        <f>SUM(I125:I128)</f>
        <v>4.5999999999999996</v>
      </c>
      <c r="K124" s="28">
        <v>59.56</v>
      </c>
      <c r="L124" s="73">
        <f>SUM(J124*K124)</f>
        <v>273.98</v>
      </c>
      <c r="M124" s="115"/>
      <c r="N124" s="39"/>
      <c r="O124" s="197">
        <v>0.05</v>
      </c>
      <c r="P124" s="436"/>
      <c r="Q124" s="238">
        <v>0.95</v>
      </c>
      <c r="R124" s="238"/>
      <c r="S124" s="234"/>
      <c r="T124" s="197"/>
      <c r="U124" s="207">
        <f>SUM(O124:T124)</f>
        <v>1</v>
      </c>
      <c r="V124" s="212">
        <f>U124*L124</f>
        <v>273.98</v>
      </c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1:45" x14ac:dyDescent="0.15">
      <c r="B125" s="114" t="s">
        <v>340</v>
      </c>
      <c r="E125" s="68">
        <v>1</v>
      </c>
      <c r="F125" s="67">
        <v>13.3</v>
      </c>
      <c r="G125" s="67">
        <v>0.5</v>
      </c>
      <c r="H125" s="67">
        <v>0.15</v>
      </c>
      <c r="I125" s="67">
        <f>SUM(E125*F125*H125)</f>
        <v>2</v>
      </c>
      <c r="O125" s="197"/>
      <c r="P125" s="436"/>
      <c r="Q125" s="238"/>
      <c r="R125" s="238"/>
      <c r="S125" s="234"/>
      <c r="T125" s="197"/>
      <c r="U125" s="207"/>
      <c r="V125" s="189"/>
    </row>
    <row r="126" spans="1:45" x14ac:dyDescent="0.15">
      <c r="B126" s="114" t="s">
        <v>341</v>
      </c>
      <c r="E126" s="68">
        <v>1</v>
      </c>
      <c r="F126" s="67">
        <v>1.5</v>
      </c>
      <c r="G126" s="67">
        <v>0.5</v>
      </c>
      <c r="H126" s="67">
        <v>0.15</v>
      </c>
      <c r="I126" s="67">
        <f>+E126*H126*2*(F126+G126)</f>
        <v>0.6</v>
      </c>
      <c r="O126" s="197"/>
      <c r="P126" s="436"/>
      <c r="Q126" s="238"/>
      <c r="R126" s="238"/>
      <c r="S126" s="234"/>
      <c r="T126" s="197"/>
      <c r="U126" s="207"/>
      <c r="V126" s="189"/>
    </row>
    <row r="127" spans="1:45" x14ac:dyDescent="0.15">
      <c r="B127" s="114" t="s">
        <v>342</v>
      </c>
      <c r="E127" s="68">
        <v>1</v>
      </c>
      <c r="F127" s="67">
        <v>2</v>
      </c>
      <c r="G127" s="67">
        <v>1.5</v>
      </c>
      <c r="H127" s="67">
        <v>0.1</v>
      </c>
      <c r="I127" s="67">
        <f t="shared" ref="I127:I128" si="38">+E127*H127*2*(F127+G127)</f>
        <v>0.7</v>
      </c>
      <c r="O127" s="197"/>
      <c r="P127" s="436"/>
      <c r="Q127" s="238"/>
      <c r="R127" s="238"/>
      <c r="S127" s="234"/>
      <c r="T127" s="197"/>
      <c r="U127" s="207"/>
      <c r="V127" s="189"/>
    </row>
    <row r="128" spans="1:45" x14ac:dyDescent="0.15">
      <c r="B128" s="114" t="s">
        <v>343</v>
      </c>
      <c r="E128" s="68">
        <v>1</v>
      </c>
      <c r="F128" s="67">
        <v>3.5</v>
      </c>
      <c r="G128" s="67">
        <v>3</v>
      </c>
      <c r="H128" s="67">
        <v>0.1</v>
      </c>
      <c r="I128" s="67">
        <f t="shared" si="38"/>
        <v>1.3</v>
      </c>
      <c r="O128" s="197"/>
      <c r="P128" s="436"/>
      <c r="Q128" s="238"/>
      <c r="R128" s="238"/>
      <c r="S128" s="234"/>
      <c r="T128" s="197"/>
      <c r="U128" s="207"/>
      <c r="V128" s="189"/>
    </row>
    <row r="129" spans="1:45" s="30" customFormat="1" ht="14" x14ac:dyDescent="0.15">
      <c r="A129" s="65"/>
      <c r="B129" s="84" t="s">
        <v>323</v>
      </c>
      <c r="C129" s="27"/>
      <c r="D129" s="113" t="s">
        <v>305</v>
      </c>
      <c r="E129" s="92"/>
      <c r="F129" s="92"/>
      <c r="G129" s="92"/>
      <c r="H129" s="92"/>
      <c r="I129" s="92"/>
      <c r="J129" s="94">
        <f>SUM(I130:I133)</f>
        <v>280</v>
      </c>
      <c r="K129" s="28">
        <v>4.8499999999999996</v>
      </c>
      <c r="L129" s="73">
        <f>SUM(J129*K129)</f>
        <v>1358</v>
      </c>
      <c r="M129" s="115"/>
      <c r="N129" s="39"/>
      <c r="O129" s="197">
        <v>0.05</v>
      </c>
      <c r="P129" s="436"/>
      <c r="Q129" s="238">
        <v>0.95</v>
      </c>
      <c r="R129" s="238"/>
      <c r="S129" s="234"/>
      <c r="T129" s="197"/>
      <c r="U129" s="207">
        <f>SUM(O129:T129)</f>
        <v>1</v>
      </c>
      <c r="V129" s="212">
        <f>U129*L129</f>
        <v>1358</v>
      </c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</row>
    <row r="130" spans="1:45" x14ac:dyDescent="0.15">
      <c r="B130" s="114" t="s">
        <v>340</v>
      </c>
      <c r="E130" s="68">
        <v>1</v>
      </c>
      <c r="F130" s="67"/>
      <c r="G130" s="67"/>
      <c r="H130" s="67">
        <f>23.8+23.8+29</f>
        <v>76.599999999999994</v>
      </c>
      <c r="I130" s="67">
        <f>SUM(E130*H130)</f>
        <v>76.599999999999994</v>
      </c>
      <c r="O130" s="197"/>
      <c r="P130" s="436"/>
      <c r="Q130" s="238"/>
      <c r="R130" s="238"/>
      <c r="S130" s="234"/>
      <c r="T130" s="197"/>
      <c r="U130" s="207"/>
      <c r="V130" s="189"/>
    </row>
    <row r="131" spans="1:45" x14ac:dyDescent="0.15">
      <c r="B131" s="114" t="s">
        <v>341</v>
      </c>
      <c r="E131" s="68">
        <v>1</v>
      </c>
      <c r="F131" s="75"/>
      <c r="G131" s="67"/>
      <c r="H131" s="67">
        <f>2.8+2.8+4.7</f>
        <v>10.3</v>
      </c>
      <c r="I131" s="67">
        <f t="shared" ref="I131:I133" si="39">SUM(E131*H131)</f>
        <v>10.3</v>
      </c>
      <c r="O131" s="197"/>
      <c r="P131" s="436"/>
      <c r="Q131" s="238"/>
      <c r="R131" s="238"/>
      <c r="S131" s="234"/>
      <c r="T131" s="197"/>
      <c r="U131" s="207"/>
      <c r="V131" s="189"/>
    </row>
    <row r="132" spans="1:45" x14ac:dyDescent="0.15">
      <c r="B132" s="114" t="s">
        <v>342</v>
      </c>
      <c r="E132" s="68">
        <v>1</v>
      </c>
      <c r="F132" s="75"/>
      <c r="G132" s="67"/>
      <c r="H132" s="67">
        <v>61.3</v>
      </c>
      <c r="I132" s="67">
        <f t="shared" si="39"/>
        <v>61.3</v>
      </c>
      <c r="O132" s="197"/>
      <c r="P132" s="436"/>
      <c r="Q132" s="238"/>
      <c r="R132" s="238"/>
      <c r="S132" s="234"/>
      <c r="T132" s="197"/>
      <c r="U132" s="207"/>
      <c r="V132" s="189"/>
    </row>
    <row r="133" spans="1:45" x14ac:dyDescent="0.15">
      <c r="B133" s="114" t="s">
        <v>343</v>
      </c>
      <c r="E133" s="68">
        <v>1</v>
      </c>
      <c r="F133" s="75"/>
      <c r="G133" s="67"/>
      <c r="H133" s="67">
        <f>21.5+23.1+87.2</f>
        <v>131.80000000000001</v>
      </c>
      <c r="I133" s="67">
        <f t="shared" si="39"/>
        <v>131.80000000000001</v>
      </c>
      <c r="O133" s="197"/>
      <c r="P133" s="436"/>
      <c r="Q133" s="238"/>
      <c r="R133" s="238"/>
      <c r="S133" s="234"/>
      <c r="T133" s="197"/>
      <c r="U133" s="207"/>
      <c r="V133" s="189"/>
    </row>
    <row r="134" spans="1:45" s="30" customFormat="1" ht="14" x14ac:dyDescent="0.15">
      <c r="A134" s="65"/>
      <c r="B134" s="84" t="s">
        <v>324</v>
      </c>
      <c r="C134" s="27"/>
      <c r="D134" s="113" t="s">
        <v>305</v>
      </c>
      <c r="E134" s="92"/>
      <c r="F134" s="92"/>
      <c r="G134" s="92"/>
      <c r="H134" s="92"/>
      <c r="I134" s="92"/>
      <c r="J134" s="94">
        <f>SUM(I138:I138)</f>
        <v>192.5</v>
      </c>
      <c r="K134" s="28">
        <v>4.05</v>
      </c>
      <c r="L134" s="73">
        <f>SUM(J134*K134)</f>
        <v>779.63</v>
      </c>
      <c r="M134" s="115"/>
      <c r="N134" s="39"/>
      <c r="O134" s="197">
        <v>0.05</v>
      </c>
      <c r="P134" s="436"/>
      <c r="Q134" s="238">
        <v>0.95</v>
      </c>
      <c r="R134" s="238"/>
      <c r="S134" s="234"/>
      <c r="T134" s="197"/>
      <c r="U134" s="207">
        <f>SUM(O134:T134)</f>
        <v>1</v>
      </c>
      <c r="V134" s="212">
        <f>U134*L134</f>
        <v>779.63</v>
      </c>
    </row>
    <row r="135" spans="1:45" x14ac:dyDescent="0.15">
      <c r="B135" s="114" t="s">
        <v>340</v>
      </c>
      <c r="E135" s="68">
        <v>1</v>
      </c>
      <c r="F135" s="67"/>
      <c r="G135" s="67"/>
      <c r="H135" s="67">
        <v>0</v>
      </c>
      <c r="I135" s="67">
        <f>SUM(E135*H135)</f>
        <v>0</v>
      </c>
      <c r="O135" s="197"/>
      <c r="P135" s="436"/>
      <c r="Q135" s="238"/>
      <c r="R135" s="238"/>
      <c r="S135" s="234"/>
      <c r="T135" s="197"/>
      <c r="U135" s="207"/>
      <c r="V135" s="189"/>
    </row>
    <row r="136" spans="1:45" x14ac:dyDescent="0.15">
      <c r="B136" s="114" t="s">
        <v>341</v>
      </c>
      <c r="E136" s="68">
        <v>1</v>
      </c>
      <c r="F136" s="75"/>
      <c r="G136" s="67"/>
      <c r="H136" s="67">
        <v>0</v>
      </c>
      <c r="I136" s="67">
        <f t="shared" ref="I136:I138" si="40">SUM(E136*H136)</f>
        <v>0</v>
      </c>
      <c r="O136" s="197"/>
      <c r="P136" s="436"/>
      <c r="Q136" s="238"/>
      <c r="R136" s="238"/>
      <c r="S136" s="234"/>
      <c r="T136" s="197"/>
      <c r="U136" s="207"/>
      <c r="V136" s="189"/>
    </row>
    <row r="137" spans="1:45" x14ac:dyDescent="0.15">
      <c r="B137" s="114" t="s">
        <v>342</v>
      </c>
      <c r="E137" s="68">
        <v>1</v>
      </c>
      <c r="F137" s="75"/>
      <c r="G137" s="67"/>
      <c r="H137" s="67">
        <v>54.7</v>
      </c>
      <c r="I137" s="67">
        <f t="shared" si="40"/>
        <v>54.7</v>
      </c>
      <c r="O137" s="197"/>
      <c r="P137" s="436"/>
      <c r="Q137" s="238"/>
      <c r="R137" s="238"/>
      <c r="S137" s="234"/>
      <c r="T137" s="197"/>
      <c r="U137" s="207"/>
      <c r="V137" s="189"/>
    </row>
    <row r="138" spans="1:45" x14ac:dyDescent="0.15">
      <c r="B138" s="114" t="s">
        <v>343</v>
      </c>
      <c r="E138" s="68">
        <v>1</v>
      </c>
      <c r="F138" s="75"/>
      <c r="G138" s="67"/>
      <c r="H138" s="67">
        <v>192.5</v>
      </c>
      <c r="I138" s="67">
        <f t="shared" si="40"/>
        <v>192.5</v>
      </c>
      <c r="O138" s="197"/>
      <c r="P138" s="436"/>
      <c r="Q138" s="238"/>
      <c r="R138" s="238"/>
      <c r="S138" s="234"/>
      <c r="T138" s="197"/>
      <c r="U138" s="207"/>
      <c r="V138" s="189"/>
    </row>
    <row r="139" spans="1:45" s="30" customFormat="1" ht="14" x14ac:dyDescent="0.15">
      <c r="A139" s="65"/>
      <c r="B139" s="84" t="s">
        <v>316</v>
      </c>
      <c r="C139" s="27"/>
      <c r="D139" s="113" t="s">
        <v>297</v>
      </c>
      <c r="E139" s="92"/>
      <c r="F139" s="92"/>
      <c r="G139" s="92"/>
      <c r="H139" s="92"/>
      <c r="I139" s="92"/>
      <c r="J139" s="94">
        <f>SUM(I140:I143)</f>
        <v>280</v>
      </c>
      <c r="K139" s="28">
        <v>12.36</v>
      </c>
      <c r="L139" s="73">
        <f>SUM(J139*K139)</f>
        <v>3460.8</v>
      </c>
      <c r="M139" s="115" t="s">
        <v>326</v>
      </c>
      <c r="N139" s="39"/>
      <c r="O139" s="197">
        <v>0.05</v>
      </c>
      <c r="P139" s="436"/>
      <c r="Q139" s="238">
        <v>0.95</v>
      </c>
      <c r="R139" s="238"/>
      <c r="S139" s="234"/>
      <c r="T139" s="197"/>
      <c r="U139" s="207">
        <f>SUM(O139:T139)</f>
        <v>1</v>
      </c>
      <c r="V139" s="212">
        <f>U139*L139</f>
        <v>3460.8</v>
      </c>
    </row>
    <row r="140" spans="1:45" x14ac:dyDescent="0.15">
      <c r="B140" s="114" t="s">
        <v>340</v>
      </c>
      <c r="E140" s="68">
        <v>1</v>
      </c>
      <c r="F140" s="67"/>
      <c r="G140" s="67"/>
      <c r="H140" s="67">
        <f>23.8+23.8+29</f>
        <v>76.599999999999994</v>
      </c>
      <c r="I140" s="67">
        <f>SUM(E140*H140)</f>
        <v>76.599999999999994</v>
      </c>
      <c r="O140" s="197"/>
      <c r="P140" s="436"/>
      <c r="Q140" s="238"/>
      <c r="R140" s="238"/>
      <c r="S140" s="234"/>
      <c r="T140" s="197"/>
      <c r="U140" s="207"/>
      <c r="V140" s="189"/>
    </row>
    <row r="141" spans="1:45" x14ac:dyDescent="0.15">
      <c r="B141" s="114" t="s">
        <v>341</v>
      </c>
      <c r="E141" s="68">
        <v>1</v>
      </c>
      <c r="F141" s="75"/>
      <c r="G141" s="67"/>
      <c r="H141" s="67">
        <f>2.8+2.8+4.7</f>
        <v>10.3</v>
      </c>
      <c r="I141" s="67">
        <f t="shared" ref="I141:I143" si="41">SUM(E141*H141)</f>
        <v>10.3</v>
      </c>
      <c r="O141" s="197"/>
      <c r="P141" s="436"/>
      <c r="Q141" s="238"/>
      <c r="R141" s="238"/>
      <c r="S141" s="234"/>
      <c r="T141" s="197"/>
      <c r="U141" s="207"/>
      <c r="V141" s="189"/>
    </row>
    <row r="142" spans="1:45" x14ac:dyDescent="0.15">
      <c r="B142" s="114" t="s">
        <v>342</v>
      </c>
      <c r="E142" s="68">
        <v>1</v>
      </c>
      <c r="F142" s="75"/>
      <c r="G142" s="67"/>
      <c r="H142" s="67">
        <v>61.3</v>
      </c>
      <c r="I142" s="67">
        <f t="shared" si="41"/>
        <v>61.3</v>
      </c>
      <c r="O142" s="197"/>
      <c r="P142" s="436"/>
      <c r="Q142" s="238"/>
      <c r="R142" s="238"/>
      <c r="S142" s="234"/>
      <c r="T142" s="197"/>
      <c r="U142" s="207"/>
      <c r="V142" s="189"/>
    </row>
    <row r="143" spans="1:45" x14ac:dyDescent="0.15">
      <c r="B143" s="114" t="s">
        <v>343</v>
      </c>
      <c r="E143" s="68">
        <v>1</v>
      </c>
      <c r="F143" s="75"/>
      <c r="G143" s="67"/>
      <c r="H143" s="67">
        <f>21.5+23.1+87.2</f>
        <v>131.80000000000001</v>
      </c>
      <c r="I143" s="67">
        <f t="shared" si="41"/>
        <v>131.80000000000001</v>
      </c>
      <c r="O143" s="197"/>
      <c r="P143" s="436"/>
      <c r="Q143" s="238"/>
      <c r="R143" s="238"/>
      <c r="S143" s="234"/>
      <c r="T143" s="197"/>
      <c r="U143" s="207"/>
      <c r="V143" s="189"/>
    </row>
    <row r="144" spans="1:45" s="30" customFormat="1" ht="14" x14ac:dyDescent="0.15">
      <c r="A144" s="65"/>
      <c r="B144" s="84" t="s">
        <v>448</v>
      </c>
      <c r="C144" s="27"/>
      <c r="D144" s="113" t="s">
        <v>308</v>
      </c>
      <c r="E144" s="92"/>
      <c r="F144" s="92"/>
      <c r="G144" s="92"/>
      <c r="H144" s="92"/>
      <c r="I144" s="92"/>
      <c r="J144" s="94">
        <f>9+12</f>
        <v>21</v>
      </c>
      <c r="K144" s="28">
        <f>+K54</f>
        <v>75</v>
      </c>
      <c r="L144" s="73">
        <f>SUM(J144*K144)</f>
        <v>1575</v>
      </c>
      <c r="M144" s="115"/>
      <c r="N144" s="39"/>
      <c r="O144" s="197">
        <v>0.05</v>
      </c>
      <c r="P144" s="436"/>
      <c r="Q144" s="238">
        <v>0.95</v>
      </c>
      <c r="R144" s="238"/>
      <c r="S144" s="234"/>
      <c r="T144" s="197"/>
      <c r="U144" s="207">
        <f t="shared" ref="U144:U145" si="42">SUM(O144:T144)</f>
        <v>1</v>
      </c>
      <c r="V144" s="212">
        <f t="shared" ref="V144:V145" si="43">U144*L144</f>
        <v>1575</v>
      </c>
    </row>
    <row r="145" spans="1:22" s="30" customFormat="1" ht="14" x14ac:dyDescent="0.15">
      <c r="A145" s="65" t="s">
        <v>338</v>
      </c>
      <c r="B145" s="84" t="s">
        <v>322</v>
      </c>
      <c r="C145" s="27"/>
      <c r="D145" s="113" t="s">
        <v>304</v>
      </c>
      <c r="E145" s="92"/>
      <c r="F145" s="92"/>
      <c r="G145" s="92"/>
      <c r="H145" s="92"/>
      <c r="I145" s="92"/>
      <c r="J145" s="94">
        <f>SUM(I146:I146)</f>
        <v>30.4</v>
      </c>
      <c r="K145" s="28">
        <v>296.88</v>
      </c>
      <c r="L145" s="73">
        <f>SUM(J145*K145)</f>
        <v>9025.15</v>
      </c>
      <c r="M145" s="115"/>
      <c r="N145" s="39"/>
      <c r="O145" s="197">
        <v>0.05</v>
      </c>
      <c r="P145" s="436"/>
      <c r="Q145" s="238">
        <v>0.95</v>
      </c>
      <c r="R145" s="238"/>
      <c r="S145" s="234"/>
      <c r="T145" s="197"/>
      <c r="U145" s="207">
        <f t="shared" si="42"/>
        <v>1</v>
      </c>
      <c r="V145" s="212">
        <f t="shared" si="43"/>
        <v>9025.15</v>
      </c>
    </row>
    <row r="146" spans="1:22" x14ac:dyDescent="0.15">
      <c r="B146" s="114" t="s">
        <v>339</v>
      </c>
      <c r="E146" s="68">
        <v>1</v>
      </c>
      <c r="F146" s="67">
        <v>152</v>
      </c>
      <c r="G146" s="67"/>
      <c r="H146" s="67">
        <v>0.2</v>
      </c>
      <c r="I146" s="67">
        <f>SUM(E146*F146*H146)</f>
        <v>30.4</v>
      </c>
      <c r="O146" s="197"/>
      <c r="P146" s="436"/>
      <c r="Q146" s="238"/>
      <c r="R146" s="238"/>
      <c r="S146" s="234"/>
      <c r="T146" s="197"/>
      <c r="U146" s="207"/>
      <c r="V146" s="189"/>
    </row>
    <row r="147" spans="1:22" s="30" customFormat="1" ht="14" x14ac:dyDescent="0.15">
      <c r="A147" s="65"/>
      <c r="B147" s="84" t="s">
        <v>317</v>
      </c>
      <c r="C147" s="27"/>
      <c r="D147" s="113" t="s">
        <v>297</v>
      </c>
      <c r="E147" s="92"/>
      <c r="F147" s="92"/>
      <c r="G147" s="92"/>
      <c r="H147" s="92"/>
      <c r="I147" s="92"/>
      <c r="J147" s="94">
        <f>SUM(I148:I148)</f>
        <v>2.82</v>
      </c>
      <c r="K147" s="28">
        <v>59.56</v>
      </c>
      <c r="L147" s="73">
        <f>SUM(J147*K147)</f>
        <v>167.96</v>
      </c>
      <c r="M147" s="115"/>
      <c r="N147" s="39"/>
      <c r="O147" s="197">
        <v>0.05</v>
      </c>
      <c r="P147" s="436"/>
      <c r="Q147" s="238">
        <v>0.95</v>
      </c>
      <c r="R147" s="238"/>
      <c r="S147" s="234"/>
      <c r="T147" s="197"/>
      <c r="U147" s="207">
        <f>SUM(O147:T147)</f>
        <v>1</v>
      </c>
      <c r="V147" s="212">
        <f>U147*L147</f>
        <v>167.96</v>
      </c>
    </row>
    <row r="148" spans="1:22" x14ac:dyDescent="0.15">
      <c r="B148" s="114" t="s">
        <v>339</v>
      </c>
      <c r="E148" s="68">
        <v>1</v>
      </c>
      <c r="F148" s="67">
        <f>4.47+4.92+4.69</f>
        <v>14.08</v>
      </c>
      <c r="G148" s="67"/>
      <c r="H148" s="67">
        <v>0.2</v>
      </c>
      <c r="I148" s="67">
        <f>SUM(E148*F148*H148)</f>
        <v>2.82</v>
      </c>
      <c r="O148" s="197"/>
      <c r="P148" s="436"/>
      <c r="Q148" s="238"/>
      <c r="R148" s="238"/>
      <c r="S148" s="234"/>
      <c r="T148" s="197"/>
      <c r="U148" s="207"/>
      <c r="V148" s="189"/>
    </row>
    <row r="149" spans="1:22" s="30" customFormat="1" ht="14" x14ac:dyDescent="0.15">
      <c r="A149" s="65"/>
      <c r="B149" s="84" t="s">
        <v>323</v>
      </c>
      <c r="C149" s="27"/>
      <c r="D149" s="113" t="s">
        <v>305</v>
      </c>
      <c r="E149" s="92"/>
      <c r="F149" s="92"/>
      <c r="G149" s="92"/>
      <c r="H149" s="92"/>
      <c r="I149" s="92"/>
      <c r="J149" s="94">
        <f>SUM(I150:I150)</f>
        <v>86</v>
      </c>
      <c r="K149" s="28">
        <v>4.8499999999999996</v>
      </c>
      <c r="L149" s="73">
        <f>SUM(J149*K149)</f>
        <v>417.1</v>
      </c>
      <c r="M149" s="115"/>
      <c r="N149" s="39"/>
      <c r="O149" s="197">
        <v>0.05</v>
      </c>
      <c r="P149" s="436"/>
      <c r="Q149" s="238">
        <v>0.95</v>
      </c>
      <c r="R149" s="238"/>
      <c r="S149" s="234"/>
      <c r="T149" s="197"/>
      <c r="U149" s="207">
        <f>SUM(O149:T149)</f>
        <v>1</v>
      </c>
      <c r="V149" s="212">
        <f>U149*L149</f>
        <v>417.1</v>
      </c>
    </row>
    <row r="150" spans="1:22" x14ac:dyDescent="0.15">
      <c r="B150" s="114" t="s">
        <v>339</v>
      </c>
      <c r="E150" s="68">
        <v>1</v>
      </c>
      <c r="F150" s="67"/>
      <c r="G150" s="67"/>
      <c r="H150" s="67">
        <f>48.7+37.3</f>
        <v>86</v>
      </c>
      <c r="I150" s="67">
        <f t="shared" ref="I150" si="44">SUM(E150*H150)</f>
        <v>86</v>
      </c>
      <c r="O150" s="197"/>
      <c r="P150" s="436"/>
      <c r="Q150" s="238"/>
      <c r="R150" s="238"/>
      <c r="S150" s="234"/>
      <c r="T150" s="197"/>
      <c r="U150" s="207"/>
      <c r="V150" s="189"/>
    </row>
    <row r="151" spans="1:22" s="30" customFormat="1" ht="14" x14ac:dyDescent="0.15">
      <c r="A151" s="65"/>
      <c r="B151" s="84" t="s">
        <v>324</v>
      </c>
      <c r="C151" s="27"/>
      <c r="D151" s="113" t="s">
        <v>305</v>
      </c>
      <c r="E151" s="92"/>
      <c r="F151" s="92"/>
      <c r="G151" s="92"/>
      <c r="H151" s="92"/>
      <c r="I151" s="92"/>
      <c r="J151" s="94">
        <f>SUM(I152:I152)</f>
        <v>3606.9</v>
      </c>
      <c r="K151" s="28">
        <v>4.05</v>
      </c>
      <c r="L151" s="73">
        <f>SUM(J151*K151)</f>
        <v>14607.95</v>
      </c>
      <c r="M151" s="115"/>
      <c r="N151" s="39"/>
      <c r="O151" s="197">
        <v>0.05</v>
      </c>
      <c r="P151" s="436"/>
      <c r="Q151" s="238">
        <v>0.95</v>
      </c>
      <c r="R151" s="238"/>
      <c r="S151" s="234"/>
      <c r="T151" s="197"/>
      <c r="U151" s="207">
        <f>SUM(O151:T151)</f>
        <v>1</v>
      </c>
      <c r="V151" s="212">
        <f>U151*L151</f>
        <v>14607.95</v>
      </c>
    </row>
    <row r="152" spans="1:22" x14ac:dyDescent="0.15">
      <c r="B152" s="114" t="s">
        <v>339</v>
      </c>
      <c r="E152" s="68">
        <v>1</v>
      </c>
      <c r="F152" s="67"/>
      <c r="G152" s="67"/>
      <c r="H152" s="67">
        <f>2527.6+1079.3</f>
        <v>3606.9</v>
      </c>
      <c r="I152" s="67">
        <f t="shared" ref="I152" si="45">SUM(E152*H152)</f>
        <v>3606.9</v>
      </c>
      <c r="O152" s="197"/>
      <c r="P152" s="436"/>
      <c r="Q152" s="238"/>
      <c r="R152" s="238"/>
      <c r="S152" s="234"/>
      <c r="T152" s="197"/>
      <c r="U152" s="207"/>
      <c r="V152" s="189"/>
    </row>
    <row r="153" spans="1:22" s="30" customFormat="1" ht="14" x14ac:dyDescent="0.15">
      <c r="A153" s="65"/>
      <c r="B153" s="84" t="s">
        <v>316</v>
      </c>
      <c r="C153" s="27"/>
      <c r="D153" s="113" t="s">
        <v>297</v>
      </c>
      <c r="E153" s="92"/>
      <c r="F153" s="92"/>
      <c r="G153" s="92"/>
      <c r="H153" s="92"/>
      <c r="I153" s="92"/>
      <c r="J153" s="94">
        <f>SUM(I154:I154)</f>
        <v>152</v>
      </c>
      <c r="K153" s="28">
        <v>12.36</v>
      </c>
      <c r="L153" s="73">
        <f>SUM(J153*K153)</f>
        <v>1878.72</v>
      </c>
      <c r="M153" s="115" t="str">
        <f>+M139</f>
        <v>Epaisseur 5 cm</v>
      </c>
      <c r="N153" s="39"/>
      <c r="O153" s="197">
        <v>0.05</v>
      </c>
      <c r="P153" s="436"/>
      <c r="Q153" s="238">
        <v>0.95</v>
      </c>
      <c r="R153" s="238"/>
      <c r="S153" s="234"/>
      <c r="T153" s="197"/>
      <c r="U153" s="207">
        <f>SUM(O153:T153)</f>
        <v>1</v>
      </c>
      <c r="V153" s="212">
        <f>U153*L153</f>
        <v>1878.72</v>
      </c>
    </row>
    <row r="154" spans="1:22" x14ac:dyDescent="0.15">
      <c r="B154" s="114" t="s">
        <v>339</v>
      </c>
      <c r="E154" s="68">
        <v>1</v>
      </c>
      <c r="F154" s="67">
        <v>152</v>
      </c>
      <c r="G154" s="67"/>
      <c r="H154" s="67">
        <v>0.2</v>
      </c>
      <c r="I154" s="67">
        <f>SUM(E154*F154)</f>
        <v>152</v>
      </c>
      <c r="O154" s="197"/>
      <c r="P154" s="436"/>
      <c r="Q154" s="238"/>
      <c r="R154" s="238"/>
      <c r="S154" s="234"/>
      <c r="T154" s="197"/>
      <c r="U154" s="207"/>
      <c r="V154" s="189"/>
    </row>
    <row r="155" spans="1:22" s="30" customFormat="1" ht="14" x14ac:dyDescent="0.15">
      <c r="A155" s="65"/>
      <c r="B155" s="84" t="s">
        <v>368</v>
      </c>
      <c r="C155" s="27"/>
      <c r="D155" s="113" t="s">
        <v>308</v>
      </c>
      <c r="E155" s="92"/>
      <c r="F155" s="92"/>
      <c r="G155" s="92"/>
      <c r="H155" s="92"/>
      <c r="I155" s="92"/>
      <c r="J155" s="94">
        <v>21</v>
      </c>
      <c r="K155" s="28">
        <v>55</v>
      </c>
      <c r="L155" s="73">
        <f t="shared" ref="L155:L156" si="46">SUM(J155*K155)</f>
        <v>1155</v>
      </c>
      <c r="M155" s="115"/>
      <c r="N155" s="39"/>
      <c r="O155" s="197">
        <v>0.05</v>
      </c>
      <c r="P155" s="436"/>
      <c r="Q155" s="238">
        <v>0.95</v>
      </c>
      <c r="R155" s="238"/>
      <c r="S155" s="234"/>
      <c r="T155" s="197"/>
      <c r="U155" s="207">
        <f t="shared" ref="U155:U156" si="47">SUM(O155:T155)</f>
        <v>1</v>
      </c>
      <c r="V155" s="212">
        <f t="shared" ref="V155:V156" si="48">U155*L155</f>
        <v>1155</v>
      </c>
    </row>
    <row r="156" spans="1:22" ht="14" x14ac:dyDescent="0.15">
      <c r="A156" s="65" t="s">
        <v>347</v>
      </c>
      <c r="B156" s="84" t="s">
        <v>328</v>
      </c>
      <c r="C156" s="27"/>
      <c r="D156" s="113" t="s">
        <v>305</v>
      </c>
      <c r="E156" s="92"/>
      <c r="F156" s="92"/>
      <c r="G156" s="92"/>
      <c r="H156" s="92"/>
      <c r="I156" s="92"/>
      <c r="J156" s="94">
        <f>SUM(I157:I161)</f>
        <v>2229.63</v>
      </c>
      <c r="K156" s="28">
        <v>5.8</v>
      </c>
      <c r="L156" s="73">
        <f t="shared" si="46"/>
        <v>12931.85</v>
      </c>
      <c r="M156" s="115" t="s">
        <v>505</v>
      </c>
      <c r="O156" s="197">
        <v>0.05</v>
      </c>
      <c r="P156" s="436"/>
      <c r="Q156" s="238">
        <v>0.95</v>
      </c>
      <c r="R156" s="238"/>
      <c r="S156" s="234"/>
      <c r="T156" s="197"/>
      <c r="U156" s="207">
        <f t="shared" si="47"/>
        <v>1</v>
      </c>
      <c r="V156" s="212">
        <f t="shared" si="48"/>
        <v>12931.85</v>
      </c>
    </row>
    <row r="157" spans="1:22" x14ac:dyDescent="0.15">
      <c r="B157" s="114" t="s">
        <v>345</v>
      </c>
      <c r="E157" s="67">
        <v>1.1499999999999999</v>
      </c>
      <c r="F157" s="67"/>
      <c r="G157" s="67"/>
      <c r="H157" s="67">
        <v>747.9</v>
      </c>
      <c r="I157" s="67">
        <f>SUM(E157*H157)</f>
        <v>860.09</v>
      </c>
      <c r="N157" s="291"/>
      <c r="O157" s="197"/>
      <c r="P157" s="436"/>
      <c r="Q157" s="238"/>
      <c r="R157" s="238"/>
      <c r="S157" s="234"/>
      <c r="T157" s="197"/>
      <c r="U157" s="207"/>
      <c r="V157" s="189"/>
    </row>
    <row r="158" spans="1:22" ht="24" x14ac:dyDescent="0.15">
      <c r="B158" s="114" t="s">
        <v>348</v>
      </c>
      <c r="E158" s="67">
        <v>1.1499999999999999</v>
      </c>
      <c r="F158" s="75"/>
      <c r="G158" s="67"/>
      <c r="H158" s="67">
        <f>478.2+32.8</f>
        <v>511</v>
      </c>
      <c r="I158" s="67">
        <f>SUM(E158*H158)</f>
        <v>587.65</v>
      </c>
      <c r="K158" s="322"/>
      <c r="M158" s="285" t="s">
        <v>668</v>
      </c>
      <c r="N158" s="291" t="s">
        <v>605</v>
      </c>
      <c r="O158" s="197"/>
      <c r="P158" s="436"/>
      <c r="Q158" s="238"/>
      <c r="R158" s="238"/>
      <c r="S158" s="234"/>
      <c r="T158" s="197"/>
      <c r="U158" s="207"/>
      <c r="V158" s="189"/>
    </row>
    <row r="159" spans="1:22" x14ac:dyDescent="0.15">
      <c r="B159" s="114" t="s">
        <v>350</v>
      </c>
      <c r="E159" s="67">
        <v>1.1499999999999999</v>
      </c>
      <c r="F159" s="67"/>
      <c r="G159" s="67"/>
      <c r="H159" s="67">
        <f>115.2+151+3.6</f>
        <v>269.8</v>
      </c>
      <c r="I159" s="67">
        <f t="shared" ref="I159:I161" si="49">SUM(E159*H159)</f>
        <v>310.27</v>
      </c>
      <c r="M159" s="321"/>
      <c r="O159" s="197"/>
      <c r="P159" s="436"/>
      <c r="Q159" s="238"/>
      <c r="R159" s="238"/>
      <c r="S159" s="234"/>
      <c r="T159" s="197"/>
      <c r="U159" s="207"/>
      <c r="V159" s="189"/>
    </row>
    <row r="160" spans="1:22" x14ac:dyDescent="0.15">
      <c r="B160" s="114" t="s">
        <v>349</v>
      </c>
      <c r="E160" s="67">
        <v>1.1499999999999999</v>
      </c>
      <c r="F160" s="67"/>
      <c r="G160" s="67"/>
      <c r="H160" s="67">
        <f>109.8+144+3.6</f>
        <v>257.39999999999998</v>
      </c>
      <c r="I160" s="67">
        <f t="shared" si="49"/>
        <v>296.01</v>
      </c>
      <c r="O160" s="197"/>
      <c r="P160" s="436"/>
      <c r="Q160" s="238"/>
      <c r="R160" s="238"/>
      <c r="S160" s="234"/>
      <c r="T160" s="197"/>
      <c r="U160" s="207"/>
      <c r="V160" s="189"/>
    </row>
    <row r="161" spans="1:22" x14ac:dyDescent="0.15">
      <c r="B161" s="114" t="s">
        <v>351</v>
      </c>
      <c r="E161" s="67">
        <v>1.1499999999999999</v>
      </c>
      <c r="F161" s="67"/>
      <c r="G161" s="67"/>
      <c r="H161" s="67">
        <v>152.69999999999999</v>
      </c>
      <c r="I161" s="67">
        <f t="shared" si="49"/>
        <v>175.61</v>
      </c>
      <c r="N161" s="291" t="s">
        <v>606</v>
      </c>
      <c r="O161" s="197"/>
      <c r="P161" s="436"/>
      <c r="Q161" s="238"/>
      <c r="R161" s="238"/>
      <c r="S161" s="234"/>
      <c r="T161" s="197"/>
      <c r="U161" s="207"/>
      <c r="V161" s="189"/>
    </row>
    <row r="162" spans="1:22" s="30" customFormat="1" ht="14" x14ac:dyDescent="0.15">
      <c r="A162" s="65" t="s">
        <v>344</v>
      </c>
      <c r="B162" s="84" t="s">
        <v>333</v>
      </c>
      <c r="C162" s="27"/>
      <c r="D162" s="113" t="s">
        <v>304</v>
      </c>
      <c r="E162" s="92"/>
      <c r="F162" s="92"/>
      <c r="G162" s="92"/>
      <c r="H162" s="92"/>
      <c r="I162" s="92"/>
      <c r="J162" s="94">
        <f>SUM(I163:I163)</f>
        <v>0.16</v>
      </c>
      <c r="K162" s="28">
        <v>695</v>
      </c>
      <c r="L162" s="73">
        <f>SUM(J162*K162)</f>
        <v>111.2</v>
      </c>
      <c r="M162" s="115"/>
      <c r="N162" s="39"/>
      <c r="O162" s="197">
        <v>0.05</v>
      </c>
      <c r="P162" s="436"/>
      <c r="Q162" s="238"/>
      <c r="R162" s="238">
        <v>0.95</v>
      </c>
      <c r="S162" s="234"/>
      <c r="T162" s="197"/>
      <c r="U162" s="207">
        <f>SUM(O162:T162)</f>
        <v>1</v>
      </c>
      <c r="V162" s="212">
        <f>U162*L162</f>
        <v>111.2</v>
      </c>
    </row>
    <row r="163" spans="1:22" x14ac:dyDescent="0.15">
      <c r="B163" s="114" t="s">
        <v>346</v>
      </c>
      <c r="E163" s="68">
        <v>1</v>
      </c>
      <c r="F163" s="67">
        <v>3.13</v>
      </c>
      <c r="G163" s="67">
        <v>0.2</v>
      </c>
      <c r="H163" s="67">
        <v>0.26</v>
      </c>
      <c r="I163" s="67">
        <f t="shared" ref="I163" si="50">SUM(E163*F163*G163*H163)</f>
        <v>0.16</v>
      </c>
      <c r="O163" s="197"/>
      <c r="P163" s="436"/>
      <c r="Q163" s="238"/>
      <c r="R163" s="238"/>
      <c r="S163" s="234"/>
      <c r="T163" s="197"/>
      <c r="U163" s="207"/>
      <c r="V163" s="189"/>
    </row>
    <row r="164" spans="1:22" s="30" customFormat="1" ht="14" x14ac:dyDescent="0.15">
      <c r="A164" s="65"/>
      <c r="B164" s="84" t="s">
        <v>317</v>
      </c>
      <c r="C164" s="27"/>
      <c r="D164" s="113" t="s">
        <v>297</v>
      </c>
      <c r="E164" s="92"/>
      <c r="F164" s="92"/>
      <c r="G164" s="92"/>
      <c r="H164" s="92"/>
      <c r="I164" s="92"/>
      <c r="J164" s="94">
        <f>SUM(I165:I165)</f>
        <v>2.25</v>
      </c>
      <c r="K164" s="28">
        <v>115.17</v>
      </c>
      <c r="L164" s="73">
        <f>SUM(J164*K164)</f>
        <v>259.13</v>
      </c>
      <c r="M164" s="115"/>
      <c r="N164" s="39"/>
      <c r="O164" s="197">
        <v>0.05</v>
      </c>
      <c r="P164" s="436"/>
      <c r="Q164" s="238">
        <v>0.95</v>
      </c>
      <c r="R164" s="238"/>
      <c r="S164" s="234"/>
      <c r="T164" s="197"/>
      <c r="U164" s="207">
        <f>SUM(O164:T164)</f>
        <v>1</v>
      </c>
      <c r="V164" s="212">
        <f>U164*L164</f>
        <v>259.13</v>
      </c>
    </row>
    <row r="165" spans="1:22" x14ac:dyDescent="0.15">
      <c r="B165" s="114" t="s">
        <v>346</v>
      </c>
      <c r="E165" s="68">
        <v>1</v>
      </c>
      <c r="F165" s="67">
        <v>3.13</v>
      </c>
      <c r="G165" s="67">
        <v>0.2</v>
      </c>
      <c r="H165" s="67">
        <v>0.26</v>
      </c>
      <c r="I165" s="67">
        <f>+E165*F165*(G165+2*H165)</f>
        <v>2.25</v>
      </c>
      <c r="O165" s="197"/>
      <c r="P165" s="436"/>
      <c r="Q165" s="238"/>
      <c r="R165" s="238"/>
      <c r="S165" s="234"/>
      <c r="T165" s="197"/>
      <c r="U165" s="207"/>
      <c r="V165" s="189"/>
    </row>
    <row r="166" spans="1:22" s="30" customFormat="1" ht="14" x14ac:dyDescent="0.15">
      <c r="A166" s="65"/>
      <c r="B166" s="84" t="s">
        <v>323</v>
      </c>
      <c r="C166" s="27"/>
      <c r="D166" s="113" t="s">
        <v>305</v>
      </c>
      <c r="E166" s="92"/>
      <c r="F166" s="92"/>
      <c r="G166" s="92"/>
      <c r="H166" s="92"/>
      <c r="I166" s="92"/>
      <c r="J166" s="94">
        <f>SUM(I167:I167)</f>
        <v>21.2</v>
      </c>
      <c r="K166" s="28">
        <v>4.8499999999999996</v>
      </c>
      <c r="L166" s="73">
        <f>SUM(J166*K166)</f>
        <v>102.82</v>
      </c>
      <c r="M166" s="115"/>
      <c r="N166" s="39"/>
      <c r="O166" s="197">
        <v>0.05</v>
      </c>
      <c r="P166" s="436"/>
      <c r="Q166" s="238">
        <v>0.95</v>
      </c>
      <c r="R166" s="238"/>
      <c r="S166" s="234"/>
      <c r="T166" s="197"/>
      <c r="U166" s="207">
        <f>SUM(O166:T166)</f>
        <v>1</v>
      </c>
      <c r="V166" s="212">
        <f>U166*L166</f>
        <v>102.82</v>
      </c>
    </row>
    <row r="167" spans="1:22" x14ac:dyDescent="0.15">
      <c r="B167" s="114" t="s">
        <v>346</v>
      </c>
      <c r="E167" s="68">
        <v>1</v>
      </c>
      <c r="F167" s="67"/>
      <c r="G167" s="67"/>
      <c r="H167" s="67">
        <f>5.8+10.3+5.1</f>
        <v>21.2</v>
      </c>
      <c r="I167" s="67">
        <f t="shared" ref="I167" si="51">SUM(E167*H167)</f>
        <v>21.2</v>
      </c>
      <c r="O167" s="197"/>
      <c r="P167" s="436"/>
      <c r="Q167" s="238"/>
      <c r="R167" s="238"/>
      <c r="S167" s="234"/>
      <c r="T167" s="197"/>
      <c r="U167" s="207"/>
      <c r="V167" s="189"/>
    </row>
    <row r="168" spans="1:22" s="30" customFormat="1" ht="14" x14ac:dyDescent="0.15">
      <c r="A168" s="65" t="s">
        <v>352</v>
      </c>
      <c r="B168" s="84" t="s">
        <v>335</v>
      </c>
      <c r="C168" s="27"/>
      <c r="D168" s="113" t="s">
        <v>308</v>
      </c>
      <c r="E168" s="92"/>
      <c r="F168" s="92"/>
      <c r="G168" s="92"/>
      <c r="H168" s="92"/>
      <c r="I168" s="92"/>
      <c r="J168" s="94">
        <f>SUM(I169:I171)</f>
        <v>5</v>
      </c>
      <c r="K168" s="28">
        <v>125</v>
      </c>
      <c r="L168" s="73">
        <f>SUM(J168*K168)</f>
        <v>625</v>
      </c>
      <c r="M168" s="115"/>
      <c r="N168" s="39"/>
      <c r="O168" s="197">
        <v>0.05</v>
      </c>
      <c r="P168" s="436"/>
      <c r="Q168" s="238">
        <v>0.95</v>
      </c>
      <c r="R168" s="238"/>
      <c r="S168" s="234"/>
      <c r="T168" s="197"/>
      <c r="U168" s="207">
        <f>SUM(O168:T168)</f>
        <v>1</v>
      </c>
      <c r="V168" s="212">
        <f>U168*L168</f>
        <v>625</v>
      </c>
    </row>
    <row r="169" spans="1:22" x14ac:dyDescent="0.15">
      <c r="B169" s="114" t="s">
        <v>354</v>
      </c>
      <c r="E169" s="68">
        <v>1</v>
      </c>
      <c r="F169" s="67">
        <v>0.4</v>
      </c>
      <c r="G169" s="67">
        <v>0.14000000000000001</v>
      </c>
      <c r="H169" s="67">
        <v>0.19</v>
      </c>
      <c r="I169" s="67">
        <f>+E169</f>
        <v>1</v>
      </c>
      <c r="O169" s="197"/>
      <c r="P169" s="436"/>
      <c r="Q169" s="238"/>
      <c r="R169" s="238"/>
      <c r="S169" s="234"/>
      <c r="T169" s="197"/>
      <c r="U169" s="207"/>
      <c r="V169" s="189"/>
    </row>
    <row r="170" spans="1:22" x14ac:dyDescent="0.15">
      <c r="B170" s="114" t="s">
        <v>355</v>
      </c>
      <c r="E170" s="68">
        <v>2</v>
      </c>
      <c r="F170" s="67">
        <v>0.5</v>
      </c>
      <c r="G170" s="67">
        <v>0.38</v>
      </c>
      <c r="H170" s="67">
        <v>0.19</v>
      </c>
      <c r="I170" s="67">
        <f t="shared" ref="I170:I171" si="52">+E170</f>
        <v>2</v>
      </c>
      <c r="M170" s="285" t="s">
        <v>669</v>
      </c>
      <c r="O170" s="197"/>
      <c r="P170" s="436"/>
      <c r="Q170" s="238"/>
      <c r="R170" s="238"/>
      <c r="S170" s="234"/>
      <c r="T170" s="197"/>
      <c r="U170" s="207"/>
      <c r="V170" s="189"/>
    </row>
    <row r="171" spans="1:22" x14ac:dyDescent="0.15">
      <c r="B171" s="114" t="s">
        <v>356</v>
      </c>
      <c r="E171" s="68">
        <v>2</v>
      </c>
      <c r="F171" s="67">
        <v>0.4</v>
      </c>
      <c r="G171" s="67">
        <v>0.19</v>
      </c>
      <c r="H171" s="67">
        <v>0.19</v>
      </c>
      <c r="I171" s="67">
        <f t="shared" si="52"/>
        <v>2</v>
      </c>
      <c r="O171" s="197"/>
      <c r="P171" s="436"/>
      <c r="Q171" s="238"/>
      <c r="R171" s="238"/>
      <c r="S171" s="234"/>
      <c r="T171" s="197"/>
      <c r="U171" s="207"/>
      <c r="V171" s="189"/>
    </row>
    <row r="172" spans="1:22" x14ac:dyDescent="0.15">
      <c r="B172" s="454" t="s">
        <v>546</v>
      </c>
      <c r="C172" s="455"/>
      <c r="D172" s="455"/>
      <c r="E172" s="456">
        <v>5</v>
      </c>
      <c r="F172" s="452"/>
      <c r="G172" s="452"/>
      <c r="H172" s="452"/>
      <c r="I172" s="452">
        <v>8</v>
      </c>
      <c r="J172" s="449">
        <f>+I172</f>
        <v>8</v>
      </c>
      <c r="K172" s="450">
        <v>125</v>
      </c>
      <c r="L172" s="451">
        <f>SUM(J172*K172)</f>
        <v>1000</v>
      </c>
      <c r="M172" s="115"/>
      <c r="N172" s="39"/>
      <c r="O172" s="197"/>
      <c r="P172" s="436">
        <v>0.65</v>
      </c>
      <c r="Q172" s="238">
        <v>0.35</v>
      </c>
      <c r="R172" s="238"/>
      <c r="S172" s="234"/>
      <c r="T172" s="197"/>
      <c r="U172" s="207">
        <f>SUM(O172:T172)</f>
        <v>1</v>
      </c>
      <c r="V172" s="212">
        <f>U172*L172</f>
        <v>1000</v>
      </c>
    </row>
    <row r="173" spans="1:22" ht="14" x14ac:dyDescent="0.15">
      <c r="A173" s="65" t="s">
        <v>357</v>
      </c>
      <c r="B173" s="84" t="s">
        <v>359</v>
      </c>
      <c r="C173" s="27"/>
      <c r="D173" s="113" t="s">
        <v>305</v>
      </c>
      <c r="E173" s="92"/>
      <c r="F173" s="92"/>
      <c r="G173" s="92"/>
      <c r="H173" s="92"/>
      <c r="I173" s="92"/>
      <c r="J173" s="94">
        <f>SUM(I174:I174)</f>
        <v>123.86</v>
      </c>
      <c r="K173" s="28">
        <v>8.5500000000000007</v>
      </c>
      <c r="L173" s="73">
        <f>SUM(J173*K173)</f>
        <v>1059</v>
      </c>
      <c r="M173" s="115" t="s">
        <v>505</v>
      </c>
      <c r="O173" s="197">
        <v>0.05</v>
      </c>
      <c r="P173" s="436"/>
      <c r="Q173" s="238">
        <v>0.95</v>
      </c>
      <c r="R173" s="238"/>
      <c r="S173" s="234"/>
      <c r="T173" s="197"/>
      <c r="U173" s="207">
        <f>SUM(O173:T173)</f>
        <v>1</v>
      </c>
      <c r="V173" s="212">
        <f>U173*L173</f>
        <v>1059</v>
      </c>
    </row>
    <row r="174" spans="1:22" x14ac:dyDescent="0.15">
      <c r="B174" s="114" t="s">
        <v>360</v>
      </c>
      <c r="E174" s="67">
        <v>1.1499999999999999</v>
      </c>
      <c r="F174" s="67"/>
      <c r="G174" s="67"/>
      <c r="H174" s="67">
        <f>7.1+100.6</f>
        <v>107.7</v>
      </c>
      <c r="I174" s="67">
        <f>SUM(E174*H174)</f>
        <v>123.86</v>
      </c>
      <c r="O174" s="197"/>
      <c r="P174" s="436"/>
      <c r="Q174" s="238"/>
      <c r="R174" s="238"/>
      <c r="S174" s="234"/>
      <c r="T174" s="197"/>
      <c r="U174" s="207"/>
      <c r="V174" s="189"/>
    </row>
    <row r="175" spans="1:22" s="30" customFormat="1" ht="14" x14ac:dyDescent="0.15">
      <c r="A175" s="65" t="s">
        <v>357</v>
      </c>
      <c r="B175" s="84" t="s">
        <v>358</v>
      </c>
      <c r="C175" s="27"/>
      <c r="D175" s="113" t="s">
        <v>304</v>
      </c>
      <c r="E175" s="92"/>
      <c r="F175" s="92"/>
      <c r="G175" s="92"/>
      <c r="H175" s="92"/>
      <c r="I175" s="92"/>
      <c r="J175" s="94">
        <f>SUM(I176:I178)</f>
        <v>0.72</v>
      </c>
      <c r="K175" s="28">
        <v>695</v>
      </c>
      <c r="L175" s="73">
        <f>SUM(J175*K175)</f>
        <v>500.4</v>
      </c>
      <c r="M175" s="115"/>
      <c r="N175" s="39"/>
      <c r="O175" s="197">
        <v>0.05</v>
      </c>
      <c r="P175" s="436"/>
      <c r="Q175" s="238">
        <v>0.75</v>
      </c>
      <c r="R175" s="238">
        <v>0.2</v>
      </c>
      <c r="S175" s="234"/>
      <c r="T175" s="197"/>
      <c r="U175" s="207">
        <f>SUM(O175:T175)</f>
        <v>1</v>
      </c>
      <c r="V175" s="212">
        <f>U175*L175</f>
        <v>500.4</v>
      </c>
    </row>
    <row r="176" spans="1:22" x14ac:dyDescent="0.15">
      <c r="B176" s="114" t="s">
        <v>361</v>
      </c>
      <c r="E176" s="68">
        <v>3</v>
      </c>
      <c r="F176" s="67">
        <v>3.22</v>
      </c>
      <c r="G176" s="67">
        <v>0.3</v>
      </c>
      <c r="H176" s="67">
        <v>0.14000000000000001</v>
      </c>
      <c r="I176" s="67">
        <f t="shared" ref="I176" si="53">SUM(E176*F176*G176*H176)</f>
        <v>0.41</v>
      </c>
      <c r="M176" s="115"/>
      <c r="O176" s="197"/>
      <c r="P176" s="436"/>
      <c r="Q176" s="238"/>
      <c r="R176" s="238"/>
      <c r="S176" s="234"/>
      <c r="T176" s="197"/>
      <c r="U176" s="207"/>
      <c r="V176" s="189"/>
    </row>
    <row r="177" spans="1:22" x14ac:dyDescent="0.15">
      <c r="B177" s="114" t="s">
        <v>362</v>
      </c>
      <c r="E177" s="68">
        <v>1</v>
      </c>
      <c r="F177" s="67">
        <v>3.22</v>
      </c>
      <c r="G177" s="67">
        <v>0.4</v>
      </c>
      <c r="H177" s="67">
        <v>0.1</v>
      </c>
      <c r="I177" s="67">
        <f t="shared" ref="I177:I178" si="54">SUM(E177*F177*G177*H177)</f>
        <v>0.13</v>
      </c>
      <c r="M177" s="115"/>
      <c r="O177" s="197"/>
      <c r="P177" s="436"/>
      <c r="Q177" s="238"/>
      <c r="R177" s="238"/>
      <c r="S177" s="234"/>
      <c r="T177" s="197"/>
      <c r="U177" s="207"/>
      <c r="V177" s="189"/>
    </row>
    <row r="178" spans="1:22" x14ac:dyDescent="0.15">
      <c r="B178" s="114" t="s">
        <v>363</v>
      </c>
      <c r="E178" s="68">
        <v>1</v>
      </c>
      <c r="F178" s="67">
        <v>3.15</v>
      </c>
      <c r="G178" s="67">
        <v>0.3</v>
      </c>
      <c r="H178" s="67">
        <v>0.19</v>
      </c>
      <c r="I178" s="67">
        <f t="shared" si="54"/>
        <v>0.18</v>
      </c>
      <c r="O178" s="197"/>
      <c r="P178" s="436"/>
      <c r="Q178" s="238"/>
      <c r="R178" s="238"/>
      <c r="S178" s="234"/>
      <c r="T178" s="197"/>
      <c r="U178" s="207"/>
      <c r="V178" s="189"/>
    </row>
    <row r="179" spans="1:22" s="30" customFormat="1" ht="14" x14ac:dyDescent="0.15">
      <c r="A179" s="65"/>
      <c r="B179" s="84" t="s">
        <v>317</v>
      </c>
      <c r="C179" s="27"/>
      <c r="D179" s="113" t="s">
        <v>297</v>
      </c>
      <c r="E179" s="92"/>
      <c r="F179" s="92"/>
      <c r="G179" s="92"/>
      <c r="H179" s="92"/>
      <c r="I179" s="92"/>
      <c r="J179" s="94">
        <f>SUM(I180:I182)</f>
        <v>14.81</v>
      </c>
      <c r="K179" s="28">
        <v>115.17</v>
      </c>
      <c r="L179" s="73">
        <f>SUM(J179*K179)</f>
        <v>1705.67</v>
      </c>
      <c r="M179" s="115"/>
      <c r="N179" s="39"/>
      <c r="O179" s="197">
        <v>0.05</v>
      </c>
      <c r="P179" s="436"/>
      <c r="Q179" s="238">
        <v>0.75</v>
      </c>
      <c r="R179" s="238">
        <v>0.2</v>
      </c>
      <c r="S179" s="234"/>
      <c r="T179" s="197"/>
      <c r="U179" s="207">
        <f>SUM(O179:T179)</f>
        <v>1</v>
      </c>
      <c r="V179" s="212">
        <f>U179*L179</f>
        <v>1705.67</v>
      </c>
    </row>
    <row r="180" spans="1:22" x14ac:dyDescent="0.15">
      <c r="B180" s="114" t="s">
        <v>361</v>
      </c>
      <c r="E180" s="68">
        <v>3</v>
      </c>
      <c r="F180" s="67">
        <v>3.22</v>
      </c>
      <c r="G180" s="67">
        <v>0.3</v>
      </c>
      <c r="H180" s="67">
        <v>0.14000000000000001</v>
      </c>
      <c r="I180" s="67">
        <f>+E180*F180*2*(H180+G180)</f>
        <v>8.5</v>
      </c>
      <c r="O180" s="197"/>
      <c r="P180" s="436"/>
      <c r="Q180" s="238"/>
      <c r="R180" s="238"/>
      <c r="S180" s="234"/>
      <c r="T180" s="197"/>
      <c r="U180" s="207"/>
      <c r="V180" s="189"/>
    </row>
    <row r="181" spans="1:22" x14ac:dyDescent="0.15">
      <c r="B181" s="114" t="s">
        <v>362</v>
      </c>
      <c r="E181" s="68">
        <v>1</v>
      </c>
      <c r="F181" s="67">
        <v>3.22</v>
      </c>
      <c r="G181" s="67">
        <v>0.4</v>
      </c>
      <c r="H181" s="67">
        <v>0.1</v>
      </c>
      <c r="I181" s="67">
        <f t="shared" ref="I181:I182" si="55">+E181*F181*2*(H181+G181)</f>
        <v>3.22</v>
      </c>
      <c r="O181" s="197"/>
      <c r="P181" s="436"/>
      <c r="Q181" s="238"/>
      <c r="R181" s="238"/>
      <c r="S181" s="234"/>
      <c r="T181" s="197"/>
      <c r="U181" s="207"/>
      <c r="V181" s="189"/>
    </row>
    <row r="182" spans="1:22" x14ac:dyDescent="0.15">
      <c r="B182" s="114" t="s">
        <v>363</v>
      </c>
      <c r="E182" s="68">
        <v>1</v>
      </c>
      <c r="F182" s="67">
        <v>3.15</v>
      </c>
      <c r="G182" s="67">
        <v>0.3</v>
      </c>
      <c r="H182" s="67">
        <v>0.19</v>
      </c>
      <c r="I182" s="67">
        <f t="shared" si="55"/>
        <v>3.09</v>
      </c>
      <c r="O182" s="197"/>
      <c r="P182" s="436"/>
      <c r="Q182" s="238"/>
      <c r="R182" s="238"/>
      <c r="S182" s="234"/>
      <c r="T182" s="197"/>
      <c r="U182" s="207"/>
      <c r="V182" s="189"/>
    </row>
    <row r="183" spans="1:22" s="30" customFormat="1" ht="14" x14ac:dyDescent="0.15">
      <c r="A183" s="65"/>
      <c r="B183" s="84" t="s">
        <v>323</v>
      </c>
      <c r="C183" s="27"/>
      <c r="D183" s="113" t="s">
        <v>305</v>
      </c>
      <c r="E183" s="92"/>
      <c r="F183" s="92"/>
      <c r="G183" s="92"/>
      <c r="H183" s="92"/>
      <c r="I183" s="92"/>
      <c r="J183" s="94">
        <f>SUM(I184:I186)</f>
        <v>190.6</v>
      </c>
      <c r="K183" s="28">
        <v>4.8499999999999996</v>
      </c>
      <c r="L183" s="73">
        <f>SUM(J183*K183)</f>
        <v>924.41</v>
      </c>
      <c r="M183" s="115"/>
      <c r="N183" s="39"/>
      <c r="O183" s="197">
        <v>0.05</v>
      </c>
      <c r="P183" s="436"/>
      <c r="Q183" s="238">
        <v>0.75</v>
      </c>
      <c r="R183" s="238">
        <v>0.2</v>
      </c>
      <c r="S183" s="234"/>
      <c r="T183" s="197"/>
      <c r="U183" s="207">
        <f>SUM(O183:T183)</f>
        <v>1</v>
      </c>
      <c r="V183" s="212">
        <f>U183*L183</f>
        <v>924.41</v>
      </c>
    </row>
    <row r="184" spans="1:22" x14ac:dyDescent="0.15">
      <c r="B184" s="114" t="s">
        <v>361</v>
      </c>
      <c r="E184" s="68">
        <v>3</v>
      </c>
      <c r="F184" s="67"/>
      <c r="G184" s="67"/>
      <c r="H184" s="67"/>
      <c r="I184" s="67">
        <f>66.5+18.4+21.9+15.7</f>
        <v>122.5</v>
      </c>
      <c r="O184" s="197"/>
      <c r="P184" s="436"/>
      <c r="Q184" s="238"/>
      <c r="R184" s="238"/>
      <c r="S184" s="234"/>
      <c r="T184" s="197"/>
      <c r="U184" s="207"/>
      <c r="V184" s="189"/>
    </row>
    <row r="185" spans="1:22" x14ac:dyDescent="0.15">
      <c r="B185" s="114" t="s">
        <v>362</v>
      </c>
      <c r="E185" s="68">
        <v>1</v>
      </c>
      <c r="F185" s="67"/>
      <c r="G185" s="67"/>
      <c r="H185" s="67"/>
      <c r="I185" s="67">
        <f>11.1+5.8</f>
        <v>16.899999999999999</v>
      </c>
      <c r="O185" s="197"/>
      <c r="P185" s="436"/>
      <c r="Q185" s="238"/>
      <c r="R185" s="238"/>
      <c r="S185" s="234"/>
      <c r="T185" s="197"/>
      <c r="U185" s="207"/>
      <c r="V185" s="189"/>
    </row>
    <row r="186" spans="1:22" x14ac:dyDescent="0.15">
      <c r="B186" s="114" t="s">
        <v>363</v>
      </c>
      <c r="E186" s="68">
        <v>1</v>
      </c>
      <c r="F186" s="67"/>
      <c r="G186" s="67"/>
      <c r="H186" s="67"/>
      <c r="I186" s="67">
        <f>38.7+6.9+5.6</f>
        <v>51.2</v>
      </c>
      <c r="O186" s="197"/>
      <c r="P186" s="436"/>
      <c r="Q186" s="238"/>
      <c r="R186" s="238"/>
      <c r="S186" s="234"/>
      <c r="T186" s="197"/>
      <c r="U186" s="207"/>
      <c r="V186" s="189"/>
    </row>
    <row r="187" spans="1:22" s="30" customFormat="1" ht="14" x14ac:dyDescent="0.15">
      <c r="A187" s="65" t="s">
        <v>364</v>
      </c>
      <c r="B187" s="84" t="s">
        <v>365</v>
      </c>
      <c r="C187" s="27"/>
      <c r="D187" s="113" t="s">
        <v>366</v>
      </c>
      <c r="E187" s="92"/>
      <c r="F187" s="92"/>
      <c r="G187" s="92"/>
      <c r="H187" s="92"/>
      <c r="I187" s="92"/>
      <c r="J187" s="94">
        <v>22</v>
      </c>
      <c r="K187" s="28">
        <v>265</v>
      </c>
      <c r="L187" s="73">
        <f>SUM(J187*K187)</f>
        <v>5830</v>
      </c>
      <c r="M187" s="115"/>
      <c r="N187" s="39"/>
      <c r="O187" s="197">
        <v>0.05</v>
      </c>
      <c r="P187" s="436"/>
      <c r="Q187" s="238">
        <v>0.7</v>
      </c>
      <c r="R187" s="238">
        <v>0.25</v>
      </c>
      <c r="S187" s="234"/>
      <c r="T187" s="197"/>
      <c r="U187" s="207">
        <f>SUM(O187:T187)</f>
        <v>1</v>
      </c>
      <c r="V187" s="212">
        <f>U187*L187</f>
        <v>5830</v>
      </c>
    </row>
    <row r="188" spans="1:22" x14ac:dyDescent="0.15">
      <c r="B188" s="114" t="s">
        <v>367</v>
      </c>
      <c r="E188" s="68"/>
      <c r="F188" s="67"/>
      <c r="G188" s="67"/>
      <c r="H188" s="67"/>
      <c r="I188" s="67"/>
      <c r="O188" s="197"/>
      <c r="P188" s="436"/>
      <c r="Q188" s="238"/>
      <c r="R188" s="238"/>
      <c r="S188" s="234"/>
      <c r="T188" s="197"/>
      <c r="U188" s="207"/>
      <c r="V188" s="189"/>
    </row>
    <row r="189" spans="1:22" s="30" customFormat="1" ht="14" x14ac:dyDescent="0.15">
      <c r="A189" s="65"/>
      <c r="B189" s="84" t="s">
        <v>323</v>
      </c>
      <c r="C189" s="27"/>
      <c r="D189" s="113" t="s">
        <v>305</v>
      </c>
      <c r="E189" s="92"/>
      <c r="F189" s="92"/>
      <c r="G189" s="92"/>
      <c r="H189" s="92"/>
      <c r="I189" s="92"/>
      <c r="J189" s="94">
        <f>SUM(I190:I192)</f>
        <v>31.9</v>
      </c>
      <c r="K189" s="28">
        <v>4.8499999999999996</v>
      </c>
      <c r="L189" s="73">
        <f>SUM(J189*K189)</f>
        <v>154.72</v>
      </c>
      <c r="M189" s="115"/>
      <c r="N189" s="39"/>
      <c r="O189" s="197">
        <v>0.05</v>
      </c>
      <c r="P189" s="436"/>
      <c r="Q189" s="238">
        <v>0.95</v>
      </c>
      <c r="R189" s="238"/>
      <c r="S189" s="234"/>
      <c r="T189" s="197"/>
      <c r="U189" s="207">
        <f>SUM(O189:T189)</f>
        <v>1</v>
      </c>
      <c r="V189" s="212">
        <f>U189*L189</f>
        <v>154.72</v>
      </c>
    </row>
    <row r="190" spans="1:22" x14ac:dyDescent="0.15">
      <c r="B190" s="114" t="s">
        <v>367</v>
      </c>
      <c r="E190" s="68"/>
      <c r="F190" s="67"/>
      <c r="G190" s="67"/>
      <c r="H190" s="67"/>
      <c r="I190" s="67">
        <f>5.8+14.4+0.8+10+0.9</f>
        <v>31.9</v>
      </c>
      <c r="O190" s="202"/>
      <c r="P190" s="441"/>
      <c r="Q190" s="443"/>
      <c r="R190" s="443"/>
      <c r="S190" s="235"/>
      <c r="T190" s="202"/>
      <c r="U190" s="211"/>
      <c r="V190" s="194"/>
    </row>
    <row r="192" spans="1:22" s="128" customFormat="1" ht="17" x14ac:dyDescent="0.15">
      <c r="A192" s="118"/>
      <c r="B192" s="119" t="s">
        <v>369</v>
      </c>
      <c r="C192" s="120"/>
      <c r="D192" s="121"/>
      <c r="E192" s="122"/>
      <c r="F192" s="122"/>
      <c r="G192" s="122"/>
      <c r="H192" s="122"/>
      <c r="I192" s="122"/>
      <c r="J192" s="123"/>
      <c r="K192" s="124"/>
      <c r="L192" s="125">
        <f>+SUM(L1:L191)</f>
        <v>113555.71</v>
      </c>
      <c r="M192" s="126"/>
      <c r="N192" s="136"/>
      <c r="O192" s="137"/>
      <c r="P192" s="126"/>
      <c r="Q192" s="381"/>
      <c r="R192" s="381"/>
      <c r="S192" s="138"/>
      <c r="T192" s="127"/>
      <c r="U192" s="217"/>
      <c r="V192" s="218">
        <f>SUM(V4:V190)</f>
        <v>113555.71</v>
      </c>
    </row>
  </sheetData>
  <phoneticPr fontId="14" type="noConversion"/>
  <conditionalFormatting sqref="A4:C4 A54:C56 E54:I56 E4:I4">
    <cfRule type="expression" dxfId="296" priority="390" stopIfTrue="1">
      <formula>NA()</formula>
    </cfRule>
  </conditionalFormatting>
  <conditionalFormatting sqref="A4:C4 A54:C56 E54:I56">
    <cfRule type="expression" dxfId="295" priority="389" stopIfTrue="1">
      <formula>$A4=1</formula>
    </cfRule>
  </conditionalFormatting>
  <conditionalFormatting sqref="A11:C11 E11:I11">
    <cfRule type="expression" dxfId="294" priority="371" stopIfTrue="1">
      <formula>NA()</formula>
    </cfRule>
  </conditionalFormatting>
  <conditionalFormatting sqref="A11:C11">
    <cfRule type="expression" dxfId="293" priority="370" stopIfTrue="1">
      <formula>$A11=1</formula>
    </cfRule>
  </conditionalFormatting>
  <conditionalFormatting sqref="A18:C18 A26:C26 E18:I18 E26:I26">
    <cfRule type="expression" dxfId="292" priority="376" stopIfTrue="1">
      <formula>NA()</formula>
    </cfRule>
  </conditionalFormatting>
  <conditionalFormatting sqref="A18:C18 A26:C26">
    <cfRule type="expression" dxfId="291" priority="375" stopIfTrue="1">
      <formula>$A18=1</formula>
    </cfRule>
  </conditionalFormatting>
  <conditionalFormatting sqref="A33:C33">
    <cfRule type="expression" dxfId="290" priority="368" stopIfTrue="1">
      <formula>$A33=1</formula>
    </cfRule>
    <cfRule type="expression" dxfId="289" priority="369" stopIfTrue="1">
      <formula>NA()</formula>
    </cfRule>
  </conditionalFormatting>
  <conditionalFormatting sqref="A37:C37 E37:I37">
    <cfRule type="expression" dxfId="288" priority="358" stopIfTrue="1">
      <formula>NA()</formula>
    </cfRule>
  </conditionalFormatting>
  <conditionalFormatting sqref="A37:C37">
    <cfRule type="expression" dxfId="287" priority="357" stopIfTrue="1">
      <formula>$A37=1</formula>
    </cfRule>
  </conditionalFormatting>
  <conditionalFormatting sqref="A41:C41">
    <cfRule type="expression" dxfId="286" priority="354" stopIfTrue="1">
      <formula>$A41=1</formula>
    </cfRule>
    <cfRule type="expression" dxfId="285" priority="355" stopIfTrue="1">
      <formula>NA()</formula>
    </cfRule>
  </conditionalFormatting>
  <conditionalFormatting sqref="A46:C46">
    <cfRule type="expression" dxfId="284" priority="345" stopIfTrue="1">
      <formula>NA()</formula>
    </cfRule>
    <cfRule type="expression" dxfId="283" priority="344" stopIfTrue="1">
      <formula>$A46=1</formula>
    </cfRule>
  </conditionalFormatting>
  <conditionalFormatting sqref="A50:C50 E41:I41 E50:I50">
    <cfRule type="expression" dxfId="282" priority="363" stopIfTrue="1">
      <formula>NA()</formula>
    </cfRule>
  </conditionalFormatting>
  <conditionalFormatting sqref="A50:C50">
    <cfRule type="expression" dxfId="281" priority="362" stopIfTrue="1">
      <formula>$A50=1</formula>
    </cfRule>
  </conditionalFormatting>
  <conditionalFormatting sqref="A59:C59 E59:I59">
    <cfRule type="expression" dxfId="280" priority="50" stopIfTrue="1">
      <formula>NA()</formula>
    </cfRule>
  </conditionalFormatting>
  <conditionalFormatting sqref="A59:C59">
    <cfRule type="expression" dxfId="279" priority="49" stopIfTrue="1">
      <formula>$A59=1</formula>
    </cfRule>
  </conditionalFormatting>
  <conditionalFormatting sqref="A62:C62 E62:I62">
    <cfRule type="expression" dxfId="278" priority="318" stopIfTrue="1">
      <formula>NA()</formula>
    </cfRule>
  </conditionalFormatting>
  <conditionalFormatting sqref="A62:C62">
    <cfRule type="expression" dxfId="277" priority="317" stopIfTrue="1">
      <formula>$A62=1</formula>
    </cfRule>
  </conditionalFormatting>
  <conditionalFormatting sqref="A65:C65">
    <cfRule type="expression" dxfId="276" priority="315" stopIfTrue="1">
      <formula>NA()</formula>
    </cfRule>
    <cfRule type="expression" dxfId="275" priority="314" stopIfTrue="1">
      <formula>$A65=1</formula>
    </cfRule>
  </conditionalFormatting>
  <conditionalFormatting sqref="A68:C68">
    <cfRule type="expression" dxfId="274" priority="296" stopIfTrue="1">
      <formula>NA()</formula>
    </cfRule>
    <cfRule type="expression" dxfId="273" priority="295" stopIfTrue="1">
      <formula>$A68=1</formula>
    </cfRule>
  </conditionalFormatting>
  <conditionalFormatting sqref="A73:C73 E73:I73">
    <cfRule type="expression" dxfId="272" priority="130" stopIfTrue="1">
      <formula>NA()</formula>
    </cfRule>
  </conditionalFormatting>
  <conditionalFormatting sqref="A73:C73">
    <cfRule type="expression" dxfId="271" priority="129" stopIfTrue="1">
      <formula>$A73=1</formula>
    </cfRule>
  </conditionalFormatting>
  <conditionalFormatting sqref="A76:C76 E76:I76">
    <cfRule type="expression" dxfId="270" priority="112" stopIfTrue="1">
      <formula>NA()</formula>
    </cfRule>
  </conditionalFormatting>
  <conditionalFormatting sqref="A76:C76">
    <cfRule type="expression" dxfId="269" priority="111" stopIfTrue="1">
      <formula>$A76=1</formula>
    </cfRule>
  </conditionalFormatting>
  <conditionalFormatting sqref="A79:C79 A82:C82 E79:I79 E82:I82">
    <cfRule type="expression" dxfId="268" priority="117" stopIfTrue="1">
      <formula>NA()</formula>
    </cfRule>
  </conditionalFormatting>
  <conditionalFormatting sqref="A79:C79 A82:C82">
    <cfRule type="expression" dxfId="267" priority="116" stopIfTrue="1">
      <formula>$A79=1</formula>
    </cfRule>
  </conditionalFormatting>
  <conditionalFormatting sqref="A85:C85">
    <cfRule type="expression" dxfId="266" priority="110" stopIfTrue="1">
      <formula>NA()</formula>
    </cfRule>
    <cfRule type="expression" dxfId="265" priority="109" stopIfTrue="1">
      <formula>$A85=1</formula>
    </cfRule>
  </conditionalFormatting>
  <conditionalFormatting sqref="A87:C87 E87:I87">
    <cfRule type="expression" dxfId="264" priority="99" stopIfTrue="1">
      <formula>NA()</formula>
    </cfRule>
  </conditionalFormatting>
  <conditionalFormatting sqref="A87:C87">
    <cfRule type="expression" dxfId="263" priority="98" stopIfTrue="1">
      <formula>$A87=1</formula>
    </cfRule>
  </conditionalFormatting>
  <conditionalFormatting sqref="A89:C89">
    <cfRule type="expression" dxfId="262" priority="96" stopIfTrue="1">
      <formula>NA()</formula>
    </cfRule>
    <cfRule type="expression" dxfId="261" priority="95" stopIfTrue="1">
      <formula>$A89=1</formula>
    </cfRule>
  </conditionalFormatting>
  <conditionalFormatting sqref="A91:C91">
    <cfRule type="expression" dxfId="260" priority="87" stopIfTrue="1">
      <formula>$A91=1</formula>
    </cfRule>
    <cfRule type="expression" dxfId="259" priority="88" stopIfTrue="1">
      <formula>NA()</formula>
    </cfRule>
  </conditionalFormatting>
  <conditionalFormatting sqref="A93:C93 E89:I89 E93:I93">
    <cfRule type="expression" dxfId="258" priority="104" stopIfTrue="1">
      <formula>NA()</formula>
    </cfRule>
  </conditionalFormatting>
  <conditionalFormatting sqref="A93:C93">
    <cfRule type="expression" dxfId="257" priority="103" stopIfTrue="1">
      <formula>$A93=1</formula>
    </cfRule>
  </conditionalFormatting>
  <conditionalFormatting sqref="A95:C96">
    <cfRule type="expression" dxfId="256" priority="56" stopIfTrue="1">
      <formula>NA()</formula>
    </cfRule>
    <cfRule type="expression" dxfId="255" priority="55" stopIfTrue="1">
      <formula>$A95=1</formula>
    </cfRule>
  </conditionalFormatting>
  <conditionalFormatting sqref="A108:C108">
    <cfRule type="expression" dxfId="254" priority="72" stopIfTrue="1">
      <formula>$A108=1</formula>
    </cfRule>
    <cfRule type="expression" dxfId="253" priority="73" stopIfTrue="1">
      <formula>NA()</formula>
    </cfRule>
  </conditionalFormatting>
  <conditionalFormatting sqref="A119:C119 E119:I119">
    <cfRule type="expression" dxfId="252" priority="290" stopIfTrue="1">
      <formula>NA()</formula>
    </cfRule>
  </conditionalFormatting>
  <conditionalFormatting sqref="A119:C119">
    <cfRule type="expression" dxfId="251" priority="289" stopIfTrue="1">
      <formula>$A119=1</formula>
    </cfRule>
  </conditionalFormatting>
  <conditionalFormatting sqref="A124:C124 E124:I124">
    <cfRule type="expression" dxfId="250" priority="271" stopIfTrue="1">
      <formula>NA()</formula>
    </cfRule>
  </conditionalFormatting>
  <conditionalFormatting sqref="A124:C124">
    <cfRule type="expression" dxfId="249" priority="270" stopIfTrue="1">
      <formula>$A124=1</formula>
    </cfRule>
  </conditionalFormatting>
  <conditionalFormatting sqref="A129:C129 A139:C139 E129:I129 E139:I139">
    <cfRule type="expression" dxfId="248" priority="276" stopIfTrue="1">
      <formula>NA()</formula>
    </cfRule>
  </conditionalFormatting>
  <conditionalFormatting sqref="A129:C129 A139:C139">
    <cfRule type="expression" dxfId="247" priority="275" stopIfTrue="1">
      <formula>$A129=1</formula>
    </cfRule>
  </conditionalFormatting>
  <conditionalFormatting sqref="A134:C134">
    <cfRule type="expression" dxfId="246" priority="234" stopIfTrue="1">
      <formula>$A134=1</formula>
    </cfRule>
    <cfRule type="expression" dxfId="245" priority="235" stopIfTrue="1">
      <formula>NA()</formula>
    </cfRule>
  </conditionalFormatting>
  <conditionalFormatting sqref="A144:C145 E144:I145">
    <cfRule type="expression" dxfId="244" priority="43" stopIfTrue="1">
      <formula>NA()</formula>
    </cfRule>
  </conditionalFormatting>
  <conditionalFormatting sqref="A144:C145">
    <cfRule type="expression" dxfId="243" priority="42" stopIfTrue="1">
      <formula>$A144=1</formula>
    </cfRule>
  </conditionalFormatting>
  <conditionalFormatting sqref="A147:C147 E147:I147">
    <cfRule type="expression" dxfId="242" priority="258" stopIfTrue="1">
      <formula>NA()</formula>
    </cfRule>
  </conditionalFormatting>
  <conditionalFormatting sqref="A147:C147">
    <cfRule type="expression" dxfId="241" priority="257" stopIfTrue="1">
      <formula>$A147=1</formula>
    </cfRule>
  </conditionalFormatting>
  <conditionalFormatting sqref="A149:C149">
    <cfRule type="expression" dxfId="240" priority="255" stopIfTrue="1">
      <formula>NA()</formula>
    </cfRule>
    <cfRule type="expression" dxfId="239" priority="254" stopIfTrue="1">
      <formula>$A149=1</formula>
    </cfRule>
  </conditionalFormatting>
  <conditionalFormatting sqref="A151:C151">
    <cfRule type="expression" dxfId="238" priority="244" stopIfTrue="1">
      <formula>$A151=1</formula>
    </cfRule>
    <cfRule type="expression" dxfId="237" priority="245" stopIfTrue="1">
      <formula>NA()</formula>
    </cfRule>
  </conditionalFormatting>
  <conditionalFormatting sqref="A153:C153 E149:I149 E153:I153">
    <cfRule type="expression" dxfId="236" priority="263" stopIfTrue="1">
      <formula>NA()</formula>
    </cfRule>
  </conditionalFormatting>
  <conditionalFormatting sqref="A153:C153">
    <cfRule type="expression" dxfId="235" priority="262" stopIfTrue="1">
      <formula>$A153=1</formula>
    </cfRule>
  </conditionalFormatting>
  <conditionalFormatting sqref="A155:C155 E155:I156">
    <cfRule type="expression" dxfId="234" priority="147" stopIfTrue="1">
      <formula>NA()</formula>
    </cfRule>
  </conditionalFormatting>
  <conditionalFormatting sqref="A155:C156">
    <cfRule type="expression" dxfId="233" priority="207" stopIfTrue="1">
      <formula>$A155=1</formula>
    </cfRule>
  </conditionalFormatting>
  <conditionalFormatting sqref="A156:C156">
    <cfRule type="expression" dxfId="232" priority="208" stopIfTrue="1">
      <formula>NA()</formula>
    </cfRule>
  </conditionalFormatting>
  <conditionalFormatting sqref="A162:C162">
    <cfRule type="expression" dxfId="231" priority="225" stopIfTrue="1">
      <formula>$A162=1</formula>
    </cfRule>
    <cfRule type="expression" dxfId="230" priority="226" stopIfTrue="1">
      <formula>NA()</formula>
    </cfRule>
  </conditionalFormatting>
  <conditionalFormatting sqref="A164:C164 E164:I164">
    <cfRule type="expression" dxfId="229" priority="215" stopIfTrue="1">
      <formula>NA()</formula>
    </cfRule>
  </conditionalFormatting>
  <conditionalFormatting sqref="A164:C164">
    <cfRule type="expression" dxfId="228" priority="214" stopIfTrue="1">
      <formula>$A164=1</formula>
    </cfRule>
  </conditionalFormatting>
  <conditionalFormatting sqref="A166:C166">
    <cfRule type="expression" dxfId="227" priority="211" stopIfTrue="1">
      <formula>$A166=1</formula>
    </cfRule>
    <cfRule type="expression" dxfId="226" priority="212" stopIfTrue="1">
      <formula>NA()</formula>
    </cfRule>
  </conditionalFormatting>
  <conditionalFormatting sqref="A168:C168">
    <cfRule type="expression" dxfId="225" priority="198" stopIfTrue="1">
      <formula>$A168=1</formula>
    </cfRule>
    <cfRule type="expression" dxfId="224" priority="199" stopIfTrue="1">
      <formula>NA()</formula>
    </cfRule>
  </conditionalFormatting>
  <conditionalFormatting sqref="A173:C173 E173:I173">
    <cfRule type="expression" dxfId="223" priority="186" stopIfTrue="1">
      <formula>NA()</formula>
    </cfRule>
  </conditionalFormatting>
  <conditionalFormatting sqref="A173:C173">
    <cfRule type="expression" dxfId="222" priority="185" stopIfTrue="1">
      <formula>$A173=1</formula>
    </cfRule>
  </conditionalFormatting>
  <conditionalFormatting sqref="A175:C175">
    <cfRule type="expression" dxfId="221" priority="189" stopIfTrue="1">
      <formula>$A175=1</formula>
    </cfRule>
    <cfRule type="expression" dxfId="220" priority="190" stopIfTrue="1">
      <formula>NA()</formula>
    </cfRule>
  </conditionalFormatting>
  <conditionalFormatting sqref="A179:C179 E179:I179">
    <cfRule type="expression" dxfId="219" priority="175" stopIfTrue="1">
      <formula>NA()</formula>
    </cfRule>
  </conditionalFormatting>
  <conditionalFormatting sqref="A179:C179">
    <cfRule type="expression" dxfId="218" priority="174" stopIfTrue="1">
      <formula>$A179=1</formula>
    </cfRule>
  </conditionalFormatting>
  <conditionalFormatting sqref="A183:C183">
    <cfRule type="expression" dxfId="217" priority="172" stopIfTrue="1">
      <formula>NA()</formula>
    </cfRule>
    <cfRule type="expression" dxfId="216" priority="171" stopIfTrue="1">
      <formula>$A183=1</formula>
    </cfRule>
  </conditionalFormatting>
  <conditionalFormatting sqref="A187:C187">
    <cfRule type="expression" dxfId="215" priority="162" stopIfTrue="1">
      <formula>$A187=1</formula>
    </cfRule>
    <cfRule type="expression" dxfId="214" priority="163" stopIfTrue="1">
      <formula>NA()</formula>
    </cfRule>
  </conditionalFormatting>
  <conditionalFormatting sqref="A189:C189">
    <cfRule type="expression" dxfId="213" priority="152" stopIfTrue="1">
      <formula>$A189=1</formula>
    </cfRule>
    <cfRule type="expression" dxfId="212" priority="153" stopIfTrue="1">
      <formula>NA()</formula>
    </cfRule>
  </conditionalFormatting>
  <conditionalFormatting sqref="A192:C192">
    <cfRule type="expression" dxfId="211" priority="135" stopIfTrue="1">
      <formula>$A192=1</formula>
    </cfRule>
    <cfRule type="expression" dxfId="210" priority="136" stopIfTrue="1">
      <formula>NA()</formula>
    </cfRule>
  </conditionalFormatting>
  <conditionalFormatting sqref="B4:C4 B54:C56">
    <cfRule type="expression" dxfId="209" priority="391" stopIfTrue="1">
      <formula>NA()</formula>
    </cfRule>
  </conditionalFormatting>
  <conditionalFormatting sqref="B11:C11">
    <cfRule type="expression" dxfId="208" priority="372" stopIfTrue="1">
      <formula>NA()</formula>
    </cfRule>
  </conditionalFormatting>
  <conditionalFormatting sqref="B18:C18 B26:C26">
    <cfRule type="expression" dxfId="207" priority="377" stopIfTrue="1">
      <formula>NA()</formula>
    </cfRule>
  </conditionalFormatting>
  <conditionalFormatting sqref="B33:C33">
    <cfRule type="expression" dxfId="206" priority="384" stopIfTrue="1">
      <formula>NA()</formula>
    </cfRule>
  </conditionalFormatting>
  <conditionalFormatting sqref="B37:C37">
    <cfRule type="expression" dxfId="205" priority="359" stopIfTrue="1">
      <formula>NA()</formula>
    </cfRule>
  </conditionalFormatting>
  <conditionalFormatting sqref="B41:C41">
    <cfRule type="expression" dxfId="204" priority="356" stopIfTrue="1">
      <formula>NA()</formula>
    </cfRule>
  </conditionalFormatting>
  <conditionalFormatting sqref="B46:C46">
    <cfRule type="expression" dxfId="203" priority="346" stopIfTrue="1">
      <formula>NA()</formula>
    </cfRule>
  </conditionalFormatting>
  <conditionalFormatting sqref="B50:C50">
    <cfRule type="expression" dxfId="202" priority="364" stopIfTrue="1">
      <formula>NA()</formula>
    </cfRule>
  </conditionalFormatting>
  <conditionalFormatting sqref="B59:C59">
    <cfRule type="expression" dxfId="201" priority="51" stopIfTrue="1">
      <formula>NA()</formula>
    </cfRule>
  </conditionalFormatting>
  <conditionalFormatting sqref="B62:C62">
    <cfRule type="expression" dxfId="200" priority="319" stopIfTrue="1">
      <formula>NA()</formula>
    </cfRule>
  </conditionalFormatting>
  <conditionalFormatting sqref="B65:C65">
    <cfRule type="expression" dxfId="199" priority="316" stopIfTrue="1">
      <formula>NA()</formula>
    </cfRule>
  </conditionalFormatting>
  <conditionalFormatting sqref="B68:C68">
    <cfRule type="expression" dxfId="198" priority="300" stopIfTrue="1">
      <formula>NA()</formula>
    </cfRule>
  </conditionalFormatting>
  <conditionalFormatting sqref="B73:C73">
    <cfRule type="expression" dxfId="197" priority="131" stopIfTrue="1">
      <formula>NA()</formula>
    </cfRule>
  </conditionalFormatting>
  <conditionalFormatting sqref="B76:C76">
    <cfRule type="expression" dxfId="196" priority="113" stopIfTrue="1">
      <formula>NA()</formula>
    </cfRule>
  </conditionalFormatting>
  <conditionalFormatting sqref="B79:C79 B82:C82">
    <cfRule type="expression" dxfId="195" priority="118" stopIfTrue="1">
      <formula>NA()</formula>
    </cfRule>
  </conditionalFormatting>
  <conditionalFormatting sqref="B85:C85">
    <cfRule type="expression" dxfId="194" priority="124" stopIfTrue="1">
      <formula>NA()</formula>
    </cfRule>
  </conditionalFormatting>
  <conditionalFormatting sqref="B87:C87">
    <cfRule type="expression" dxfId="193" priority="100" stopIfTrue="1">
      <formula>NA()</formula>
    </cfRule>
  </conditionalFormatting>
  <conditionalFormatting sqref="B89:C89">
    <cfRule type="expression" dxfId="192" priority="97" stopIfTrue="1">
      <formula>NA()</formula>
    </cfRule>
  </conditionalFormatting>
  <conditionalFormatting sqref="B91:C91">
    <cfRule type="expression" dxfId="191" priority="89" stopIfTrue="1">
      <formula>NA()</formula>
    </cfRule>
  </conditionalFormatting>
  <conditionalFormatting sqref="B93:C93">
    <cfRule type="expression" dxfId="190" priority="105" stopIfTrue="1">
      <formula>NA()</formula>
    </cfRule>
  </conditionalFormatting>
  <conditionalFormatting sqref="B95:C96">
    <cfRule type="expression" dxfId="189" priority="57" stopIfTrue="1">
      <formula>NA()</formula>
    </cfRule>
  </conditionalFormatting>
  <conditionalFormatting sqref="B108:C108">
    <cfRule type="expression" dxfId="188" priority="76" stopIfTrue="1">
      <formula>NA()</formula>
    </cfRule>
  </conditionalFormatting>
  <conditionalFormatting sqref="B119:C119">
    <cfRule type="expression" dxfId="187" priority="291" stopIfTrue="1">
      <formula>NA()</formula>
    </cfRule>
  </conditionalFormatting>
  <conditionalFormatting sqref="B124:C124">
    <cfRule type="expression" dxfId="186" priority="272" stopIfTrue="1">
      <formula>NA()</formula>
    </cfRule>
  </conditionalFormatting>
  <conditionalFormatting sqref="B129:C129 B139:C139">
    <cfRule type="expression" dxfId="185" priority="277" stopIfTrue="1">
      <formula>NA()</formula>
    </cfRule>
  </conditionalFormatting>
  <conditionalFormatting sqref="B134:C134">
    <cfRule type="expression" dxfId="184" priority="236" stopIfTrue="1">
      <formula>NA()</formula>
    </cfRule>
  </conditionalFormatting>
  <conditionalFormatting sqref="B144:C145">
    <cfRule type="expression" dxfId="183" priority="44" stopIfTrue="1">
      <formula>NA()</formula>
    </cfRule>
  </conditionalFormatting>
  <conditionalFormatting sqref="B147:C147">
    <cfRule type="expression" dxfId="182" priority="259" stopIfTrue="1">
      <formula>NA()</formula>
    </cfRule>
  </conditionalFormatting>
  <conditionalFormatting sqref="B149:C149">
    <cfRule type="expression" dxfId="181" priority="256" stopIfTrue="1">
      <formula>NA()</formula>
    </cfRule>
  </conditionalFormatting>
  <conditionalFormatting sqref="B151:C151">
    <cfRule type="expression" dxfId="180" priority="246" stopIfTrue="1">
      <formula>NA()</formula>
    </cfRule>
  </conditionalFormatting>
  <conditionalFormatting sqref="B153:C153">
    <cfRule type="expression" dxfId="179" priority="264" stopIfTrue="1">
      <formula>NA()</formula>
    </cfRule>
  </conditionalFormatting>
  <conditionalFormatting sqref="B155:C155">
    <cfRule type="expression" dxfId="178" priority="148" stopIfTrue="1">
      <formula>NA()</formula>
    </cfRule>
  </conditionalFormatting>
  <conditionalFormatting sqref="B156:C156">
    <cfRule type="expression" dxfId="177" priority="209" stopIfTrue="1">
      <formula>NA()</formula>
    </cfRule>
  </conditionalFormatting>
  <conditionalFormatting sqref="B162:C162">
    <cfRule type="expression" dxfId="176" priority="230" stopIfTrue="1">
      <formula>NA()</formula>
    </cfRule>
  </conditionalFormatting>
  <conditionalFormatting sqref="B164:C164">
    <cfRule type="expression" dxfId="175" priority="216" stopIfTrue="1">
      <formula>NA()</formula>
    </cfRule>
  </conditionalFormatting>
  <conditionalFormatting sqref="B166:C166">
    <cfRule type="expression" dxfId="174" priority="213" stopIfTrue="1">
      <formula>NA()</formula>
    </cfRule>
  </conditionalFormatting>
  <conditionalFormatting sqref="B168:C168">
    <cfRule type="expression" dxfId="173" priority="203" stopIfTrue="1">
      <formula>NA()</formula>
    </cfRule>
  </conditionalFormatting>
  <conditionalFormatting sqref="B173:C173">
    <cfRule type="expression" dxfId="172" priority="187" stopIfTrue="1">
      <formula>NA()</formula>
    </cfRule>
  </conditionalFormatting>
  <conditionalFormatting sqref="B175:C175">
    <cfRule type="expression" dxfId="171" priority="194" stopIfTrue="1">
      <formula>NA()</formula>
    </cfRule>
  </conditionalFormatting>
  <conditionalFormatting sqref="B179:C179">
    <cfRule type="expression" dxfId="170" priority="176" stopIfTrue="1">
      <formula>NA()</formula>
    </cfRule>
  </conditionalFormatting>
  <conditionalFormatting sqref="B183:C183">
    <cfRule type="expression" dxfId="169" priority="173" stopIfTrue="1">
      <formula>NA()</formula>
    </cfRule>
  </conditionalFormatting>
  <conditionalFormatting sqref="B187:C187">
    <cfRule type="expression" dxfId="168" priority="167" stopIfTrue="1">
      <formula>NA()</formula>
    </cfRule>
  </conditionalFormatting>
  <conditionalFormatting sqref="B189:C189">
    <cfRule type="expression" dxfId="167" priority="154" stopIfTrue="1">
      <formula>NA()</formula>
    </cfRule>
  </conditionalFormatting>
  <conditionalFormatting sqref="B192:C192">
    <cfRule type="expression" dxfId="166" priority="137" stopIfTrue="1">
      <formula>NA()</formula>
    </cfRule>
  </conditionalFormatting>
  <conditionalFormatting sqref="C75">
    <cfRule type="expression" dxfId="165" priority="34" stopIfTrue="1">
      <formula>NA()</formula>
    </cfRule>
    <cfRule type="expression" dxfId="164" priority="32" stopIfTrue="1">
      <formula>$A75=1</formula>
    </cfRule>
    <cfRule type="expression" dxfId="163" priority="33" stopIfTrue="1">
      <formula>NA()</formula>
    </cfRule>
  </conditionalFormatting>
  <conditionalFormatting sqref="C78">
    <cfRule type="expression" dxfId="162" priority="27" stopIfTrue="1">
      <formula>NA()</formula>
    </cfRule>
    <cfRule type="expression" dxfId="161" priority="26" stopIfTrue="1">
      <formula>$A78=1</formula>
    </cfRule>
    <cfRule type="expression" dxfId="160" priority="28" stopIfTrue="1">
      <formula>NA()</formula>
    </cfRule>
  </conditionalFormatting>
  <conditionalFormatting sqref="C81">
    <cfRule type="expression" dxfId="159" priority="20" stopIfTrue="1">
      <formula>$A81=1</formula>
    </cfRule>
    <cfRule type="expression" dxfId="158" priority="22" stopIfTrue="1">
      <formula>NA()</formula>
    </cfRule>
    <cfRule type="expression" dxfId="157" priority="21" stopIfTrue="1">
      <formula>NA()</formula>
    </cfRule>
  </conditionalFormatting>
  <conditionalFormatting sqref="C84">
    <cfRule type="expression" dxfId="156" priority="16" stopIfTrue="1">
      <formula>NA()</formula>
    </cfRule>
    <cfRule type="expression" dxfId="155" priority="14" stopIfTrue="1">
      <formula>$A84=1</formula>
    </cfRule>
    <cfRule type="expression" dxfId="154" priority="15" stopIfTrue="1">
      <formula>NA()</formula>
    </cfRule>
  </conditionalFormatting>
  <conditionalFormatting sqref="E4:I4">
    <cfRule type="expression" dxfId="153" priority="394" stopIfTrue="1">
      <formula>$A4=1</formula>
    </cfRule>
  </conditionalFormatting>
  <conditionalFormatting sqref="E11:I11">
    <cfRule type="expression" dxfId="152" priority="373" stopIfTrue="1">
      <formula>$A11=1</formula>
    </cfRule>
  </conditionalFormatting>
  <conditionalFormatting sqref="E18:I18 E26:I26">
    <cfRule type="expression" dxfId="151" priority="380" stopIfTrue="1">
      <formula>$A18=1</formula>
    </cfRule>
  </conditionalFormatting>
  <conditionalFormatting sqref="E33:I33">
    <cfRule type="expression" dxfId="150" priority="383" stopIfTrue="1">
      <formula>NA()</formula>
    </cfRule>
    <cfRule type="expression" dxfId="149" priority="387" stopIfTrue="1">
      <formula>$A33=1</formula>
    </cfRule>
  </conditionalFormatting>
  <conditionalFormatting sqref="E37:I37">
    <cfRule type="expression" dxfId="148" priority="360" stopIfTrue="1">
      <formula>$A37=1</formula>
    </cfRule>
  </conditionalFormatting>
  <conditionalFormatting sqref="E41:I41 E50:I50">
    <cfRule type="expression" dxfId="147" priority="367" stopIfTrue="1">
      <formula>$A41=1</formula>
    </cfRule>
  </conditionalFormatting>
  <conditionalFormatting sqref="E46:I46">
    <cfRule type="expression" dxfId="146" priority="349" stopIfTrue="1">
      <formula>NA()</formula>
    </cfRule>
    <cfRule type="expression" dxfId="145" priority="353" stopIfTrue="1">
      <formula>$A46=1</formula>
    </cfRule>
  </conditionalFormatting>
  <conditionalFormatting sqref="E59:I59">
    <cfRule type="expression" dxfId="144" priority="54" stopIfTrue="1">
      <formula>$A59=1</formula>
    </cfRule>
  </conditionalFormatting>
  <conditionalFormatting sqref="E62:I62">
    <cfRule type="expression" dxfId="143" priority="320" stopIfTrue="1">
      <formula>$A62=1</formula>
    </cfRule>
  </conditionalFormatting>
  <conditionalFormatting sqref="E65:I65">
    <cfRule type="expression" dxfId="142" priority="327" stopIfTrue="1">
      <formula>$A65=1</formula>
    </cfRule>
    <cfRule type="expression" dxfId="141" priority="323" stopIfTrue="1">
      <formula>NA()</formula>
    </cfRule>
  </conditionalFormatting>
  <conditionalFormatting sqref="E68:I68">
    <cfRule type="expression" dxfId="140" priority="299" stopIfTrue="1">
      <formula>NA()</formula>
    </cfRule>
    <cfRule type="expression" dxfId="139" priority="303" stopIfTrue="1">
      <formula>$A68=1</formula>
    </cfRule>
  </conditionalFormatting>
  <conditionalFormatting sqref="E73:I73">
    <cfRule type="expression" dxfId="138" priority="134" stopIfTrue="1">
      <formula>$A73=1</formula>
    </cfRule>
  </conditionalFormatting>
  <conditionalFormatting sqref="E76:I76">
    <cfRule type="expression" dxfId="137" priority="114" stopIfTrue="1">
      <formula>$A76=1</formula>
    </cfRule>
  </conditionalFormatting>
  <conditionalFormatting sqref="E79:I79 E82:I82">
    <cfRule type="expression" dxfId="136" priority="121" stopIfTrue="1">
      <formula>$A79=1</formula>
    </cfRule>
  </conditionalFormatting>
  <conditionalFormatting sqref="E85:I85">
    <cfRule type="expression" dxfId="135" priority="127" stopIfTrue="1">
      <formula>$A85=1</formula>
    </cfRule>
    <cfRule type="expression" dxfId="134" priority="123" stopIfTrue="1">
      <formula>NA()</formula>
    </cfRule>
  </conditionalFormatting>
  <conditionalFormatting sqref="E87:I87">
    <cfRule type="expression" dxfId="133" priority="101" stopIfTrue="1">
      <formula>$A87=1</formula>
    </cfRule>
  </conditionalFormatting>
  <conditionalFormatting sqref="E89:I89 E93:I93">
    <cfRule type="expression" dxfId="132" priority="108" stopIfTrue="1">
      <formula>$A89=1</formula>
    </cfRule>
  </conditionalFormatting>
  <conditionalFormatting sqref="E91:I91">
    <cfRule type="expression" dxfId="131" priority="94" stopIfTrue="1">
      <formula>$A91=1</formula>
    </cfRule>
    <cfRule type="expression" dxfId="130" priority="91" stopIfTrue="1">
      <formula>NA()</formula>
    </cfRule>
  </conditionalFormatting>
  <conditionalFormatting sqref="E95:I96">
    <cfRule type="expression" dxfId="129" priority="64" stopIfTrue="1">
      <formula>$A95=1</formula>
    </cfRule>
    <cfRule type="expression" dxfId="128" priority="60" stopIfTrue="1">
      <formula>NA()</formula>
    </cfRule>
  </conditionalFormatting>
  <conditionalFormatting sqref="E108:I108">
    <cfRule type="expression" dxfId="127" priority="79" stopIfTrue="1">
      <formula>$A108=1</formula>
    </cfRule>
    <cfRule type="expression" dxfId="126" priority="75" stopIfTrue="1">
      <formula>NA()</formula>
    </cfRule>
  </conditionalFormatting>
  <conditionalFormatting sqref="E119:I119">
    <cfRule type="expression" dxfId="125" priority="294" stopIfTrue="1">
      <formula>$A119=1</formula>
    </cfRule>
  </conditionalFormatting>
  <conditionalFormatting sqref="E124:I124">
    <cfRule type="expression" dxfId="124" priority="273" stopIfTrue="1">
      <formula>$A124=1</formula>
    </cfRule>
  </conditionalFormatting>
  <conditionalFormatting sqref="E129:I129 E139:I139">
    <cfRule type="expression" dxfId="123" priority="280" stopIfTrue="1">
      <formula>$A129=1</formula>
    </cfRule>
  </conditionalFormatting>
  <conditionalFormatting sqref="E134:I134">
    <cfRule type="expression" dxfId="122" priority="239" stopIfTrue="1">
      <formula>NA()</formula>
    </cfRule>
    <cfRule type="expression" dxfId="121" priority="243" stopIfTrue="1">
      <formula>$A134=1</formula>
    </cfRule>
  </conditionalFormatting>
  <conditionalFormatting sqref="E144:I145">
    <cfRule type="expression" dxfId="120" priority="47" stopIfTrue="1">
      <formula>$A144=1</formula>
    </cfRule>
  </conditionalFormatting>
  <conditionalFormatting sqref="E147:I147">
    <cfRule type="expression" dxfId="119" priority="260" stopIfTrue="1">
      <formula>$A147=1</formula>
    </cfRule>
  </conditionalFormatting>
  <conditionalFormatting sqref="E149:I149 E153:I153">
    <cfRule type="expression" dxfId="118" priority="267" stopIfTrue="1">
      <formula>$A149=1</formula>
    </cfRule>
  </conditionalFormatting>
  <conditionalFormatting sqref="E151:I151">
    <cfRule type="expression" dxfId="117" priority="253" stopIfTrue="1">
      <formula>$A151=1</formula>
    </cfRule>
    <cfRule type="expression" dxfId="116" priority="249" stopIfTrue="1">
      <formula>NA()</formula>
    </cfRule>
  </conditionalFormatting>
  <conditionalFormatting sqref="E155:I156">
    <cfRule type="expression" dxfId="115" priority="210" stopIfTrue="1">
      <formula>$A155=1</formula>
    </cfRule>
  </conditionalFormatting>
  <conditionalFormatting sqref="E162:I162">
    <cfRule type="expression" dxfId="114" priority="229" stopIfTrue="1">
      <formula>NA()</formula>
    </cfRule>
    <cfRule type="expression" dxfId="113" priority="233" stopIfTrue="1">
      <formula>$A162=1</formula>
    </cfRule>
  </conditionalFormatting>
  <conditionalFormatting sqref="E164:I164">
    <cfRule type="expression" dxfId="112" priority="217" stopIfTrue="1">
      <formula>$A164=1</formula>
    </cfRule>
  </conditionalFormatting>
  <conditionalFormatting sqref="E166:I166">
    <cfRule type="expression" dxfId="111" priority="224" stopIfTrue="1">
      <formula>$A166=1</formula>
    </cfRule>
    <cfRule type="expression" dxfId="110" priority="220" stopIfTrue="1">
      <formula>NA()</formula>
    </cfRule>
  </conditionalFormatting>
  <conditionalFormatting sqref="E168:I168">
    <cfRule type="expression" dxfId="109" priority="202" stopIfTrue="1">
      <formula>NA()</formula>
    </cfRule>
    <cfRule type="expression" dxfId="108" priority="206" stopIfTrue="1">
      <formula>$A168=1</formula>
    </cfRule>
  </conditionalFormatting>
  <conditionalFormatting sqref="E173:I173">
    <cfRule type="expression" dxfId="107" priority="188" stopIfTrue="1">
      <formula>$A173=1</formula>
    </cfRule>
  </conditionalFormatting>
  <conditionalFormatting sqref="E175:I175">
    <cfRule type="expression" dxfId="106" priority="197" stopIfTrue="1">
      <formula>$A175=1</formula>
    </cfRule>
    <cfRule type="expression" dxfId="105" priority="193" stopIfTrue="1">
      <formula>NA()</formula>
    </cfRule>
  </conditionalFormatting>
  <conditionalFormatting sqref="E179:I179">
    <cfRule type="expression" dxfId="104" priority="177" stopIfTrue="1">
      <formula>$A179=1</formula>
    </cfRule>
  </conditionalFormatting>
  <conditionalFormatting sqref="E183:I183">
    <cfRule type="expression" dxfId="103" priority="180" stopIfTrue="1">
      <formula>NA()</formula>
    </cfRule>
    <cfRule type="expression" dxfId="102" priority="184" stopIfTrue="1">
      <formula>$A183=1</formula>
    </cfRule>
  </conditionalFormatting>
  <conditionalFormatting sqref="E187:I187">
    <cfRule type="expression" dxfId="101" priority="166" stopIfTrue="1">
      <formula>NA()</formula>
    </cfRule>
    <cfRule type="expression" dxfId="100" priority="170" stopIfTrue="1">
      <formula>$A187=1</formula>
    </cfRule>
  </conditionalFormatting>
  <conditionalFormatting sqref="E189:I189">
    <cfRule type="expression" dxfId="99" priority="161" stopIfTrue="1">
      <formula>$A189=1</formula>
    </cfRule>
    <cfRule type="expression" dxfId="98" priority="157" stopIfTrue="1">
      <formula>NA()</formula>
    </cfRule>
  </conditionalFormatting>
  <conditionalFormatting sqref="E192:I192">
    <cfRule type="expression" dxfId="97" priority="144" stopIfTrue="1">
      <formula>$A192=1</formula>
    </cfRule>
    <cfRule type="expression" dxfId="96" priority="140" stopIfTrue="1">
      <formula>NA()</formula>
    </cfRule>
  </conditionalFormatting>
  <conditionalFormatting sqref="N4 N54:N56 N108">
    <cfRule type="cellIs" dxfId="95" priority="392" stopIfTrue="1" operator="equal">
      <formula>3</formula>
    </cfRule>
    <cfRule type="cellIs" dxfId="94" priority="388" stopIfTrue="1" operator="equal">
      <formula>1</formula>
    </cfRule>
    <cfRule type="cellIs" dxfId="93" priority="393" stopIfTrue="1" operator="equal">
      <formula>2</formula>
    </cfRule>
  </conditionalFormatting>
  <conditionalFormatting sqref="N11 N18 N26">
    <cfRule type="cellIs" dxfId="92" priority="379" stopIfTrue="1" operator="equal">
      <formula>2</formula>
    </cfRule>
    <cfRule type="cellIs" dxfId="91" priority="378" stopIfTrue="1" operator="equal">
      <formula>3</formula>
    </cfRule>
    <cfRule type="cellIs" dxfId="90" priority="374" stopIfTrue="1" operator="equal">
      <formula>1</formula>
    </cfRule>
  </conditionalFormatting>
  <conditionalFormatting sqref="N33">
    <cfRule type="cellIs" dxfId="89" priority="385" stopIfTrue="1" operator="equal">
      <formula>3</formula>
    </cfRule>
    <cfRule type="cellIs" dxfId="88" priority="381" stopIfTrue="1" operator="equal">
      <formula>1</formula>
    </cfRule>
    <cfRule type="cellIs" dxfId="87" priority="386" stopIfTrue="1" operator="equal">
      <formula>2</formula>
    </cfRule>
  </conditionalFormatting>
  <conditionalFormatting sqref="N37 N41 N50">
    <cfRule type="cellIs" dxfId="86" priority="361" stopIfTrue="1" operator="equal">
      <formula>1</formula>
    </cfRule>
    <cfRule type="cellIs" dxfId="85" priority="365" stopIfTrue="1" operator="equal">
      <formula>3</formula>
    </cfRule>
    <cfRule type="cellIs" dxfId="84" priority="366" stopIfTrue="1" operator="equal">
      <formula>2</formula>
    </cfRule>
  </conditionalFormatting>
  <conditionalFormatting sqref="N46">
    <cfRule type="cellIs" dxfId="83" priority="352" stopIfTrue="1" operator="equal">
      <formula>2</formula>
    </cfRule>
    <cfRule type="cellIs" dxfId="82" priority="351" stopIfTrue="1" operator="equal">
      <formula>3</formula>
    </cfRule>
    <cfRule type="cellIs" dxfId="81" priority="347" stopIfTrue="1" operator="equal">
      <formula>1</formula>
    </cfRule>
  </conditionalFormatting>
  <conditionalFormatting sqref="N59">
    <cfRule type="cellIs" dxfId="80" priority="52" stopIfTrue="1" operator="equal">
      <formula>3</formula>
    </cfRule>
    <cfRule type="cellIs" dxfId="79" priority="53" stopIfTrue="1" operator="equal">
      <formula>2</formula>
    </cfRule>
    <cfRule type="cellIs" dxfId="78" priority="48" stopIfTrue="1" operator="equal">
      <formula>1</formula>
    </cfRule>
  </conditionalFormatting>
  <conditionalFormatting sqref="N62 N65">
    <cfRule type="cellIs" dxfId="77" priority="326" stopIfTrue="1" operator="equal">
      <formula>2</formula>
    </cfRule>
    <cfRule type="cellIs" dxfId="76" priority="321" stopIfTrue="1" operator="equal">
      <formula>1</formula>
    </cfRule>
    <cfRule type="cellIs" dxfId="75" priority="325" stopIfTrue="1" operator="equal">
      <formula>3</formula>
    </cfRule>
  </conditionalFormatting>
  <conditionalFormatting sqref="N68">
    <cfRule type="cellIs" dxfId="74" priority="302" stopIfTrue="1" operator="equal">
      <formula>2</formula>
    </cfRule>
    <cfRule type="cellIs" dxfId="73" priority="301" stopIfTrue="1" operator="equal">
      <formula>3</formula>
    </cfRule>
    <cfRule type="cellIs" dxfId="72" priority="297" stopIfTrue="1" operator="equal">
      <formula>1</formula>
    </cfRule>
  </conditionalFormatting>
  <conditionalFormatting sqref="N73">
    <cfRule type="cellIs" dxfId="71" priority="128" stopIfTrue="1" operator="equal">
      <formula>1</formula>
    </cfRule>
    <cfRule type="cellIs" dxfId="70" priority="133" stopIfTrue="1" operator="equal">
      <formula>2</formula>
    </cfRule>
    <cfRule type="cellIs" dxfId="69" priority="132" stopIfTrue="1" operator="equal">
      <formula>3</formula>
    </cfRule>
  </conditionalFormatting>
  <conditionalFormatting sqref="N75:N76">
    <cfRule type="cellIs" dxfId="68" priority="31" stopIfTrue="1" operator="equal">
      <formula>1</formula>
    </cfRule>
    <cfRule type="cellIs" dxfId="67" priority="35" stopIfTrue="1" operator="equal">
      <formula>3</formula>
    </cfRule>
    <cfRule type="cellIs" dxfId="66" priority="36" stopIfTrue="1" operator="equal">
      <formula>2</formula>
    </cfRule>
  </conditionalFormatting>
  <conditionalFormatting sqref="N78:N79">
    <cfRule type="cellIs" dxfId="65" priority="30" stopIfTrue="1" operator="equal">
      <formula>2</formula>
    </cfRule>
    <cfRule type="cellIs" dxfId="64" priority="29" stopIfTrue="1" operator="equal">
      <formula>3</formula>
    </cfRule>
    <cfRule type="cellIs" dxfId="63" priority="25" stopIfTrue="1" operator="equal">
      <formula>1</formula>
    </cfRule>
  </conditionalFormatting>
  <conditionalFormatting sqref="N81:N82">
    <cfRule type="cellIs" dxfId="62" priority="19" stopIfTrue="1" operator="equal">
      <formula>1</formula>
    </cfRule>
    <cfRule type="cellIs" dxfId="61" priority="23" stopIfTrue="1" operator="equal">
      <formula>3</formula>
    </cfRule>
    <cfRule type="cellIs" dxfId="60" priority="24" stopIfTrue="1" operator="equal">
      <formula>2</formula>
    </cfRule>
  </conditionalFormatting>
  <conditionalFormatting sqref="N84:N85">
    <cfRule type="cellIs" dxfId="59" priority="13" stopIfTrue="1" operator="equal">
      <formula>1</formula>
    </cfRule>
    <cfRule type="cellIs" dxfId="58" priority="17" stopIfTrue="1" operator="equal">
      <formula>3</formula>
    </cfRule>
    <cfRule type="cellIs" dxfId="57" priority="18" stopIfTrue="1" operator="equal">
      <formula>2</formula>
    </cfRule>
  </conditionalFormatting>
  <conditionalFormatting sqref="N87 N89 N93">
    <cfRule type="cellIs" dxfId="56" priority="102" stopIfTrue="1" operator="equal">
      <formula>1</formula>
    </cfRule>
    <cfRule type="cellIs" dxfId="55" priority="106" stopIfTrue="1" operator="equal">
      <formula>3</formula>
    </cfRule>
    <cfRule type="cellIs" dxfId="54" priority="107" stopIfTrue="1" operator="equal">
      <formula>2</formula>
    </cfRule>
  </conditionalFormatting>
  <conditionalFormatting sqref="N91">
    <cfRule type="cellIs" dxfId="53" priority="90" stopIfTrue="1" operator="equal">
      <formula>1</formula>
    </cfRule>
    <cfRule type="cellIs" dxfId="52" priority="92" stopIfTrue="1" operator="equal">
      <formula>3</formula>
    </cfRule>
    <cfRule type="cellIs" dxfId="51" priority="93" stopIfTrue="1" operator="equal">
      <formula>2</formula>
    </cfRule>
  </conditionalFormatting>
  <conditionalFormatting sqref="N95:N96">
    <cfRule type="cellIs" dxfId="50" priority="58" stopIfTrue="1" operator="equal">
      <formula>1</formula>
    </cfRule>
    <cfRule type="cellIs" dxfId="49" priority="62" stopIfTrue="1" operator="equal">
      <formula>3</formula>
    </cfRule>
    <cfRule type="cellIs" dxfId="48" priority="63" stopIfTrue="1" operator="equal">
      <formula>2</formula>
    </cfRule>
  </conditionalFormatting>
  <conditionalFormatting sqref="N119">
    <cfRule type="cellIs" dxfId="47" priority="288" stopIfTrue="1" operator="equal">
      <formula>1</formula>
    </cfRule>
    <cfRule type="cellIs" dxfId="46" priority="293" stopIfTrue="1" operator="equal">
      <formula>2</formula>
    </cfRule>
    <cfRule type="cellIs" dxfId="45" priority="292" stopIfTrue="1" operator="equal">
      <formula>3</formula>
    </cfRule>
  </conditionalFormatting>
  <conditionalFormatting sqref="N124 N129 N139">
    <cfRule type="cellIs" dxfId="44" priority="274" stopIfTrue="1" operator="equal">
      <formula>1</formula>
    </cfRule>
    <cfRule type="cellIs" dxfId="43" priority="279" stopIfTrue="1" operator="equal">
      <formula>2</formula>
    </cfRule>
    <cfRule type="cellIs" dxfId="42" priority="278" stopIfTrue="1" operator="equal">
      <formula>3</formula>
    </cfRule>
  </conditionalFormatting>
  <conditionalFormatting sqref="N134">
    <cfRule type="cellIs" dxfId="41" priority="237" stopIfTrue="1" operator="equal">
      <formula>1</formula>
    </cfRule>
    <cfRule type="cellIs" dxfId="40" priority="241" stopIfTrue="1" operator="equal">
      <formula>3</formula>
    </cfRule>
    <cfRule type="cellIs" dxfId="39" priority="242" stopIfTrue="1" operator="equal">
      <formula>2</formula>
    </cfRule>
  </conditionalFormatting>
  <conditionalFormatting sqref="N144:N145">
    <cfRule type="cellIs" dxfId="38" priority="41" stopIfTrue="1" operator="equal">
      <formula>1</formula>
    </cfRule>
    <cfRule type="cellIs" dxfId="37" priority="45" stopIfTrue="1" operator="equal">
      <formula>3</formula>
    </cfRule>
    <cfRule type="cellIs" dxfId="36" priority="46" stopIfTrue="1" operator="equal">
      <formula>2</formula>
    </cfRule>
  </conditionalFormatting>
  <conditionalFormatting sqref="N147 N149 N153">
    <cfRule type="cellIs" dxfId="35" priority="266" stopIfTrue="1" operator="equal">
      <formula>2</formula>
    </cfRule>
    <cfRule type="cellIs" dxfId="34" priority="265" stopIfTrue="1" operator="equal">
      <formula>3</formula>
    </cfRule>
    <cfRule type="cellIs" dxfId="33" priority="261" stopIfTrue="1" operator="equal">
      <formula>1</formula>
    </cfRule>
  </conditionalFormatting>
  <conditionalFormatting sqref="N151">
    <cfRule type="cellIs" dxfId="32" priority="252" stopIfTrue="1" operator="equal">
      <formula>2</formula>
    </cfRule>
    <cfRule type="cellIs" dxfId="31" priority="251" stopIfTrue="1" operator="equal">
      <formula>3</formula>
    </cfRule>
    <cfRule type="cellIs" dxfId="30" priority="247" stopIfTrue="1" operator="equal">
      <formula>1</formula>
    </cfRule>
  </conditionalFormatting>
  <conditionalFormatting sqref="N155">
    <cfRule type="cellIs" dxfId="29" priority="150" stopIfTrue="1" operator="equal">
      <formula>2</formula>
    </cfRule>
    <cfRule type="cellIs" dxfId="28" priority="149" stopIfTrue="1" operator="equal">
      <formula>3</formula>
    </cfRule>
    <cfRule type="cellIs" dxfId="27" priority="145" stopIfTrue="1" operator="equal">
      <formula>1</formula>
    </cfRule>
  </conditionalFormatting>
  <conditionalFormatting sqref="N162">
    <cfRule type="cellIs" dxfId="26" priority="232" stopIfTrue="1" operator="equal">
      <formula>2</formula>
    </cfRule>
    <cfRule type="cellIs" dxfId="25" priority="231" stopIfTrue="1" operator="equal">
      <formula>3</formula>
    </cfRule>
    <cfRule type="cellIs" dxfId="24" priority="227" stopIfTrue="1" operator="equal">
      <formula>1</formula>
    </cfRule>
  </conditionalFormatting>
  <conditionalFormatting sqref="N164 N166">
    <cfRule type="cellIs" dxfId="23" priority="218" stopIfTrue="1" operator="equal">
      <formula>1</formula>
    </cfRule>
    <cfRule type="cellIs" dxfId="22" priority="223" stopIfTrue="1" operator="equal">
      <formula>2</formula>
    </cfRule>
    <cfRule type="cellIs" dxfId="21" priority="222" stopIfTrue="1" operator="equal">
      <formula>3</formula>
    </cfRule>
  </conditionalFormatting>
  <conditionalFormatting sqref="N168">
    <cfRule type="cellIs" dxfId="20" priority="200" stopIfTrue="1" operator="equal">
      <formula>1</formula>
    </cfRule>
    <cfRule type="cellIs" dxfId="19" priority="204" stopIfTrue="1" operator="equal">
      <formula>3</formula>
    </cfRule>
    <cfRule type="cellIs" dxfId="18" priority="205" stopIfTrue="1" operator="equal">
      <formula>2</formula>
    </cfRule>
  </conditionalFormatting>
  <conditionalFormatting sqref="N172">
    <cfRule type="cellIs" dxfId="17" priority="40" stopIfTrue="1" operator="equal">
      <formula>2</formula>
    </cfRule>
    <cfRule type="cellIs" dxfId="16" priority="39" stopIfTrue="1" operator="equal">
      <formula>3</formula>
    </cfRule>
    <cfRule type="cellIs" dxfId="15" priority="38" stopIfTrue="1" operator="equal">
      <formula>1</formula>
    </cfRule>
  </conditionalFormatting>
  <conditionalFormatting sqref="N175">
    <cfRule type="cellIs" dxfId="14" priority="191" stopIfTrue="1" operator="equal">
      <formula>1</formula>
    </cfRule>
    <cfRule type="cellIs" dxfId="13" priority="195" stopIfTrue="1" operator="equal">
      <formula>3</formula>
    </cfRule>
    <cfRule type="cellIs" dxfId="12" priority="196" stopIfTrue="1" operator="equal">
      <formula>2</formula>
    </cfRule>
  </conditionalFormatting>
  <conditionalFormatting sqref="N179 N183">
    <cfRule type="cellIs" dxfId="11" priority="178" stopIfTrue="1" operator="equal">
      <formula>1</formula>
    </cfRule>
    <cfRule type="cellIs" dxfId="10" priority="182" stopIfTrue="1" operator="equal">
      <formula>3</formula>
    </cfRule>
    <cfRule type="cellIs" dxfId="9" priority="183" stopIfTrue="1" operator="equal">
      <formula>2</formula>
    </cfRule>
  </conditionalFormatting>
  <conditionalFormatting sqref="N187">
    <cfRule type="cellIs" dxfId="8" priority="164" stopIfTrue="1" operator="equal">
      <formula>1</formula>
    </cfRule>
    <cfRule type="cellIs" dxfId="7" priority="168" stopIfTrue="1" operator="equal">
      <formula>3</formula>
    </cfRule>
    <cfRule type="cellIs" dxfId="6" priority="169" stopIfTrue="1" operator="equal">
      <formula>2</formula>
    </cfRule>
  </conditionalFormatting>
  <conditionalFormatting sqref="N189">
    <cfRule type="cellIs" dxfId="5" priority="160" stopIfTrue="1" operator="equal">
      <formula>2</formula>
    </cfRule>
    <cfRule type="cellIs" dxfId="4" priority="159" stopIfTrue="1" operator="equal">
      <formula>3</formula>
    </cfRule>
    <cfRule type="cellIs" dxfId="3" priority="155" stopIfTrue="1" operator="equal">
      <formula>1</formula>
    </cfRule>
  </conditionalFormatting>
  <conditionalFormatting sqref="N192">
    <cfRule type="cellIs" dxfId="2" priority="138" stopIfTrue="1" operator="equal">
      <formula>1</formula>
    </cfRule>
    <cfRule type="cellIs" dxfId="1" priority="142" stopIfTrue="1" operator="equal">
      <formula>3</formula>
    </cfRule>
    <cfRule type="cellIs" dxfId="0" priority="143" stopIfTrue="1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0918A-8872-4BFE-A820-7A10C8245BFE}">
  <dimension ref="A1:W51"/>
  <sheetViews>
    <sheetView topLeftCell="A10" zoomScale="120" zoomScaleNormal="120" workbookViewId="0">
      <selection activeCell="W46" sqref="W46"/>
    </sheetView>
  </sheetViews>
  <sheetFormatPr baseColWidth="10" defaultRowHeight="13" x14ac:dyDescent="0.15"/>
  <cols>
    <col min="1" max="1" width="7.5" customWidth="1"/>
    <col min="2" max="2" width="66" style="140" customWidth="1"/>
    <col min="3" max="3" width="2.5" customWidth="1"/>
    <col min="4" max="4" width="6.5" bestFit="1" customWidth="1"/>
    <col min="5" max="9" width="2.5" customWidth="1"/>
    <col min="10" max="10" width="6.1640625" bestFit="1" customWidth="1"/>
    <col min="11" max="11" width="9" bestFit="1" customWidth="1"/>
    <col min="12" max="12" width="11.5" bestFit="1" customWidth="1"/>
    <col min="13" max="13" width="39" style="116" bestFit="1" customWidth="1"/>
    <col min="14" max="14" width="2.5" customWidth="1"/>
    <col min="15" max="15" width="5.5" bestFit="1" customWidth="1"/>
    <col min="16" max="16" width="6.6640625" bestFit="1" customWidth="1"/>
    <col min="17" max="17" width="5.33203125" style="116" bestFit="1" customWidth="1"/>
    <col min="18" max="18" width="6.83203125" style="114" bestFit="1" customWidth="1"/>
    <col min="19" max="19" width="7.1640625" style="116" bestFit="1" customWidth="1"/>
    <col min="20" max="20" width="5.5" bestFit="1" customWidth="1"/>
    <col min="21" max="21" width="8.5" bestFit="1" customWidth="1"/>
    <col min="22" max="22" width="13" bestFit="1" customWidth="1"/>
    <col min="23" max="23" width="25.33203125" customWidth="1"/>
  </cols>
  <sheetData>
    <row r="1" spans="1:22" ht="24.5" customHeight="1" thickBot="1" x14ac:dyDescent="0.2">
      <c r="O1" s="216" t="s">
        <v>511</v>
      </c>
      <c r="P1" s="483" t="s">
        <v>512</v>
      </c>
      <c r="Q1" s="274" t="s">
        <v>513</v>
      </c>
      <c r="R1" s="493" t="s">
        <v>514</v>
      </c>
      <c r="S1" s="495" t="s">
        <v>515</v>
      </c>
      <c r="T1" s="216" t="s">
        <v>516</v>
      </c>
      <c r="U1" s="216" t="s">
        <v>509</v>
      </c>
      <c r="V1" s="186" t="s">
        <v>510</v>
      </c>
    </row>
    <row r="2" spans="1:22" ht="14" x14ac:dyDescent="0.15">
      <c r="A2" s="141" t="s">
        <v>382</v>
      </c>
      <c r="B2" s="143" t="s">
        <v>383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6"/>
      <c r="O2" s="197"/>
      <c r="P2" s="435"/>
      <c r="Q2" s="442"/>
      <c r="R2" s="436"/>
      <c r="S2" s="234"/>
      <c r="T2" s="197"/>
      <c r="U2" s="207"/>
      <c r="V2" s="189"/>
    </row>
    <row r="3" spans="1:22" ht="14" x14ac:dyDescent="0.15">
      <c r="A3" s="65"/>
      <c r="B3" s="23" t="s">
        <v>384</v>
      </c>
      <c r="C3" s="23"/>
      <c r="D3" s="75" t="s">
        <v>385</v>
      </c>
      <c r="E3" s="23"/>
      <c r="F3" s="23"/>
      <c r="G3" s="23"/>
      <c r="H3" s="23"/>
      <c r="I3" s="23"/>
      <c r="J3" s="67">
        <v>1</v>
      </c>
      <c r="K3" s="28"/>
      <c r="L3" s="73"/>
      <c r="M3" s="146" t="s">
        <v>408</v>
      </c>
      <c r="O3" s="197"/>
      <c r="P3" s="435"/>
      <c r="Q3" s="442"/>
      <c r="R3" s="436"/>
      <c r="S3" s="234"/>
      <c r="T3" s="197"/>
      <c r="U3" s="207"/>
      <c r="V3" s="212"/>
    </row>
    <row r="4" spans="1:22" x14ac:dyDescent="0.15">
      <c r="M4" s="146"/>
      <c r="O4" s="197"/>
      <c r="P4" s="435"/>
      <c r="Q4" s="442"/>
      <c r="R4" s="436"/>
      <c r="S4" s="234"/>
      <c r="T4" s="197"/>
      <c r="U4" s="207"/>
      <c r="V4" s="189"/>
    </row>
    <row r="5" spans="1:22" ht="28" x14ac:dyDescent="0.15">
      <c r="A5" s="141" t="s">
        <v>386</v>
      </c>
      <c r="B5" s="143" t="s">
        <v>387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6" t="s">
        <v>483</v>
      </c>
      <c r="O5" s="197"/>
      <c r="P5" s="436"/>
      <c r="Q5" s="442"/>
      <c r="R5" s="436"/>
      <c r="S5" s="234"/>
      <c r="T5" s="197"/>
      <c r="U5" s="207"/>
      <c r="V5" s="189"/>
    </row>
    <row r="6" spans="1:22" ht="28" x14ac:dyDescent="0.15">
      <c r="A6" s="65"/>
      <c r="B6" s="23" t="s">
        <v>388</v>
      </c>
      <c r="C6" s="145"/>
      <c r="D6" s="75" t="s">
        <v>9</v>
      </c>
      <c r="E6" s="145"/>
      <c r="F6" s="145"/>
      <c r="G6" s="145"/>
      <c r="H6" s="145"/>
      <c r="I6" s="145"/>
      <c r="J6" s="75">
        <f>+SvE!L32</f>
        <v>202.84</v>
      </c>
      <c r="K6" s="28">
        <v>32.5</v>
      </c>
      <c r="L6" s="73">
        <f t="shared" ref="L6:L8" si="0">SUM(J6*K6)</f>
        <v>6592.3</v>
      </c>
      <c r="M6" s="146"/>
      <c r="O6" s="197">
        <v>0.05</v>
      </c>
      <c r="P6" s="436">
        <v>0.95</v>
      </c>
      <c r="Q6" s="442"/>
      <c r="R6" s="436"/>
      <c r="S6" s="234"/>
      <c r="T6" s="197"/>
      <c r="U6" s="210">
        <f>SUM(O6:T6)</f>
        <v>1</v>
      </c>
      <c r="V6" s="236">
        <f>U6*L6</f>
        <v>6592.3</v>
      </c>
    </row>
    <row r="7" spans="1:22" ht="14" x14ac:dyDescent="0.15">
      <c r="A7" s="65"/>
      <c r="B7" s="145" t="s">
        <v>409</v>
      </c>
      <c r="C7" s="145"/>
      <c r="D7" s="75" t="s">
        <v>9</v>
      </c>
      <c r="E7" s="145"/>
      <c r="F7" s="145"/>
      <c r="G7" s="145"/>
      <c r="H7" s="145"/>
      <c r="I7" s="145"/>
      <c r="J7" s="75">
        <f>+SvE!L32</f>
        <v>202.84</v>
      </c>
      <c r="K7" s="28">
        <v>7.65</v>
      </c>
      <c r="L7" s="73">
        <f t="shared" si="0"/>
        <v>1551.73</v>
      </c>
      <c r="M7" s="146"/>
      <c r="O7" s="197">
        <v>0.05</v>
      </c>
      <c r="P7" s="436">
        <v>0.95</v>
      </c>
      <c r="Q7" s="442"/>
      <c r="R7" s="436"/>
      <c r="S7" s="234"/>
      <c r="T7" s="197"/>
      <c r="U7" s="210">
        <f>SUM(O7:T7)</f>
        <v>1</v>
      </c>
      <c r="V7" s="236">
        <f>U7*L7</f>
        <v>1551.73</v>
      </c>
    </row>
    <row r="8" spans="1:22" ht="28" x14ac:dyDescent="0.15">
      <c r="A8" s="65"/>
      <c r="B8" s="23" t="s">
        <v>389</v>
      </c>
      <c r="C8" s="23"/>
      <c r="D8" s="75" t="s">
        <v>19</v>
      </c>
      <c r="E8" s="23"/>
      <c r="F8" s="23"/>
      <c r="G8" s="23"/>
      <c r="H8" s="23"/>
      <c r="I8" s="23"/>
      <c r="J8" s="67">
        <v>12</v>
      </c>
      <c r="K8" s="28">
        <v>485</v>
      </c>
      <c r="L8" s="73">
        <f t="shared" si="0"/>
        <v>5820</v>
      </c>
      <c r="M8" s="146"/>
      <c r="O8" s="197">
        <v>0.05</v>
      </c>
      <c r="P8" s="436">
        <v>0.55000000000000004</v>
      </c>
      <c r="Q8" s="442"/>
      <c r="R8" s="436">
        <v>0.4</v>
      </c>
      <c r="S8" s="234"/>
      <c r="T8" s="197"/>
      <c r="U8" s="210">
        <f>SUM(O8:T8)</f>
        <v>1</v>
      </c>
      <c r="V8" s="236">
        <f>U8*L8</f>
        <v>5820</v>
      </c>
    </row>
    <row r="9" spans="1:22" x14ac:dyDescent="0.15">
      <c r="M9" s="146"/>
      <c r="O9" s="197"/>
      <c r="P9" s="436"/>
      <c r="Q9" s="442"/>
      <c r="R9" s="436"/>
      <c r="S9" s="234"/>
      <c r="T9" s="197"/>
      <c r="U9" s="207"/>
      <c r="V9" s="189"/>
    </row>
    <row r="10" spans="1:22" ht="14" x14ac:dyDescent="0.15">
      <c r="A10" s="141" t="s">
        <v>390</v>
      </c>
      <c r="B10" s="143" t="s">
        <v>391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6"/>
      <c r="O10" s="197"/>
      <c r="P10" s="436"/>
      <c r="Q10" s="442"/>
      <c r="R10" s="436"/>
      <c r="S10" s="234"/>
      <c r="T10" s="197"/>
      <c r="U10" s="207"/>
      <c r="V10" s="212"/>
    </row>
    <row r="11" spans="1:22" ht="14" x14ac:dyDescent="0.15">
      <c r="A11" s="65"/>
      <c r="B11" s="23" t="s">
        <v>392</v>
      </c>
      <c r="C11" s="23"/>
      <c r="D11" s="75" t="s">
        <v>19</v>
      </c>
      <c r="E11" s="23"/>
      <c r="F11" s="23"/>
      <c r="G11" s="23"/>
      <c r="H11" s="23"/>
      <c r="I11" s="23"/>
      <c r="J11" s="67">
        <v>12</v>
      </c>
      <c r="K11" s="28">
        <v>1466</v>
      </c>
      <c r="L11" s="73">
        <f t="shared" ref="L11:L17" si="1">SUM(J11*K11)</f>
        <v>17592</v>
      </c>
      <c r="M11" s="146"/>
      <c r="O11" s="197">
        <v>0.05</v>
      </c>
      <c r="P11" s="436"/>
      <c r="Q11" s="442"/>
      <c r="R11" s="436">
        <v>0.45</v>
      </c>
      <c r="S11" s="234">
        <v>0.5</v>
      </c>
      <c r="T11" s="197"/>
      <c r="U11" s="207">
        <f t="shared" ref="U11:U17" si="2">SUM(O11:T11)</f>
        <v>1</v>
      </c>
      <c r="V11" s="212">
        <f t="shared" ref="V11:V17" si="3">U11*L11</f>
        <v>17592</v>
      </c>
    </row>
    <row r="12" spans="1:22" ht="28" x14ac:dyDescent="0.15">
      <c r="A12" s="65"/>
      <c r="B12" s="23" t="s">
        <v>393</v>
      </c>
      <c r="C12" s="23"/>
      <c r="D12" s="75" t="s">
        <v>304</v>
      </c>
      <c r="E12" s="23"/>
      <c r="F12" s="23"/>
      <c r="G12" s="23"/>
      <c r="H12" s="23"/>
      <c r="I12" s="23"/>
      <c r="J12" s="75">
        <f>1.15+0.07</f>
        <v>1.22</v>
      </c>
      <c r="K12" s="28">
        <v>695</v>
      </c>
      <c r="L12" s="73">
        <f t="shared" si="1"/>
        <v>847.9</v>
      </c>
      <c r="M12" s="146" t="s">
        <v>412</v>
      </c>
      <c r="O12" s="196">
        <v>0.05</v>
      </c>
      <c r="P12" s="437">
        <v>0.5</v>
      </c>
      <c r="Q12" s="479"/>
      <c r="R12" s="437">
        <v>0.45</v>
      </c>
      <c r="S12" s="496"/>
      <c r="T12" s="196"/>
      <c r="U12" s="207">
        <f t="shared" si="2"/>
        <v>1</v>
      </c>
      <c r="V12" s="212">
        <f t="shared" si="3"/>
        <v>847.9</v>
      </c>
    </row>
    <row r="13" spans="1:22" ht="14" x14ac:dyDescent="0.15">
      <c r="A13" s="65"/>
      <c r="B13" s="145" t="s">
        <v>410</v>
      </c>
      <c r="C13" s="145"/>
      <c r="D13" s="75" t="s">
        <v>297</v>
      </c>
      <c r="E13" s="145"/>
      <c r="F13" s="145"/>
      <c r="G13" s="145"/>
      <c r="H13" s="145"/>
      <c r="I13" s="145"/>
      <c r="J13" s="75">
        <f>9.2+1</f>
        <v>10.199999999999999</v>
      </c>
      <c r="K13" s="28">
        <v>115.17</v>
      </c>
      <c r="L13" s="73">
        <f t="shared" si="1"/>
        <v>1174.73</v>
      </c>
      <c r="M13" s="146"/>
      <c r="O13" s="197">
        <v>0.05</v>
      </c>
      <c r="P13" s="436">
        <v>0.5</v>
      </c>
      <c r="Q13" s="442"/>
      <c r="R13" s="436">
        <v>0.45</v>
      </c>
      <c r="S13" s="234"/>
      <c r="T13" s="197"/>
      <c r="U13" s="207">
        <f t="shared" si="2"/>
        <v>1</v>
      </c>
      <c r="V13" s="212">
        <f t="shared" si="3"/>
        <v>1174.73</v>
      </c>
    </row>
    <row r="14" spans="1:22" ht="14" x14ac:dyDescent="0.15">
      <c r="A14" s="65"/>
      <c r="B14" s="145" t="s">
        <v>411</v>
      </c>
      <c r="C14" s="145"/>
      <c r="D14" s="75" t="s">
        <v>305</v>
      </c>
      <c r="E14" s="145"/>
      <c r="F14" s="145"/>
      <c r="G14" s="145"/>
      <c r="H14" s="145"/>
      <c r="I14" s="145"/>
      <c r="J14" s="75">
        <v>99.8</v>
      </c>
      <c r="K14" s="28">
        <v>4.8499999999999996</v>
      </c>
      <c r="L14" s="73">
        <f t="shared" si="1"/>
        <v>484.03</v>
      </c>
      <c r="M14" s="146"/>
      <c r="O14" s="197">
        <v>0.05</v>
      </c>
      <c r="P14" s="436">
        <v>0.5</v>
      </c>
      <c r="Q14" s="442"/>
      <c r="R14" s="436">
        <v>0.45</v>
      </c>
      <c r="S14" s="234"/>
      <c r="T14" s="197"/>
      <c r="U14" s="207">
        <f t="shared" si="2"/>
        <v>1</v>
      </c>
      <c r="V14" s="212">
        <f t="shared" si="3"/>
        <v>484.03</v>
      </c>
    </row>
    <row r="15" spans="1:22" ht="14" x14ac:dyDescent="0.15">
      <c r="A15" s="65"/>
      <c r="B15" s="145" t="s">
        <v>413</v>
      </c>
      <c r="C15" s="145"/>
      <c r="D15" s="75" t="s">
        <v>304</v>
      </c>
      <c r="E15" s="145"/>
      <c r="F15" s="145"/>
      <c r="G15" s="145"/>
      <c r="H15" s="145"/>
      <c r="I15" s="145"/>
      <c r="J15" s="75">
        <f>0.06+0.5</f>
        <v>0.56000000000000005</v>
      </c>
      <c r="K15" s="28">
        <v>695</v>
      </c>
      <c r="L15" s="73">
        <f t="shared" si="1"/>
        <v>389.2</v>
      </c>
      <c r="M15" s="146"/>
      <c r="O15" s="197">
        <v>0.05</v>
      </c>
      <c r="P15" s="436"/>
      <c r="Q15" s="442"/>
      <c r="R15" s="436">
        <v>0.95</v>
      </c>
      <c r="S15" s="234"/>
      <c r="T15" s="197"/>
      <c r="U15" s="207">
        <f t="shared" si="2"/>
        <v>1</v>
      </c>
      <c r="V15" s="212">
        <f t="shared" si="3"/>
        <v>389.2</v>
      </c>
    </row>
    <row r="16" spans="1:22" ht="14" x14ac:dyDescent="0.15">
      <c r="A16" s="65"/>
      <c r="B16" s="145" t="s">
        <v>410</v>
      </c>
      <c r="C16" s="145"/>
      <c r="D16" s="75" t="s">
        <v>297</v>
      </c>
      <c r="E16" s="145"/>
      <c r="F16" s="145"/>
      <c r="G16" s="145"/>
      <c r="H16" s="145"/>
      <c r="I16" s="145"/>
      <c r="J16" s="75">
        <f>0.9+7.2</f>
        <v>8.1</v>
      </c>
      <c r="K16" s="28">
        <v>115.17</v>
      </c>
      <c r="L16" s="73">
        <f t="shared" si="1"/>
        <v>932.88</v>
      </c>
      <c r="M16" s="146"/>
      <c r="O16" s="197">
        <v>0.05</v>
      </c>
      <c r="P16" s="436"/>
      <c r="Q16" s="442"/>
      <c r="R16" s="436">
        <v>0.95</v>
      </c>
      <c r="S16" s="234"/>
      <c r="T16" s="197"/>
      <c r="U16" s="207">
        <f t="shared" si="2"/>
        <v>1</v>
      </c>
      <c r="V16" s="212">
        <f t="shared" si="3"/>
        <v>932.88</v>
      </c>
    </row>
    <row r="17" spans="1:22" ht="14" x14ac:dyDescent="0.15">
      <c r="A17" s="65"/>
      <c r="B17" s="145" t="s">
        <v>411</v>
      </c>
      <c r="C17" s="145"/>
      <c r="D17" s="75" t="s">
        <v>305</v>
      </c>
      <c r="E17" s="145"/>
      <c r="F17" s="145"/>
      <c r="G17" s="145"/>
      <c r="H17" s="145"/>
      <c r="I17" s="145"/>
      <c r="J17" s="75">
        <v>122.3</v>
      </c>
      <c r="K17" s="28">
        <v>4.8499999999999996</v>
      </c>
      <c r="L17" s="73">
        <f t="shared" si="1"/>
        <v>593.16</v>
      </c>
      <c r="M17" s="146"/>
      <c r="O17" s="197">
        <v>0.05</v>
      </c>
      <c r="P17" s="436"/>
      <c r="Q17" s="442"/>
      <c r="R17" s="436">
        <v>0.95</v>
      </c>
      <c r="S17" s="234"/>
      <c r="T17" s="197"/>
      <c r="U17" s="207">
        <f t="shared" si="2"/>
        <v>1</v>
      </c>
      <c r="V17" s="212">
        <f t="shared" si="3"/>
        <v>593.16</v>
      </c>
    </row>
    <row r="18" spans="1:22" x14ac:dyDescent="0.15">
      <c r="M18" s="146"/>
      <c r="O18" s="197"/>
      <c r="P18" s="436"/>
      <c r="Q18" s="442"/>
      <c r="R18" s="436"/>
      <c r="S18" s="234"/>
      <c r="T18" s="197"/>
      <c r="U18" s="207"/>
      <c r="V18" s="212"/>
    </row>
    <row r="19" spans="1:22" ht="14" x14ac:dyDescent="0.15">
      <c r="A19" s="141" t="s">
        <v>394</v>
      </c>
      <c r="B19" s="143" t="s">
        <v>395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6"/>
      <c r="O19" s="197"/>
      <c r="P19" s="436"/>
      <c r="Q19" s="442"/>
      <c r="R19" s="436"/>
      <c r="S19" s="234"/>
      <c r="T19" s="197"/>
      <c r="U19" s="207"/>
      <c r="V19" s="212"/>
    </row>
    <row r="20" spans="1:22" ht="14" x14ac:dyDescent="0.15">
      <c r="A20" s="65"/>
      <c r="B20" s="23" t="s">
        <v>396</v>
      </c>
      <c r="C20" s="23"/>
      <c r="D20" s="75" t="s">
        <v>385</v>
      </c>
      <c r="E20" s="23"/>
      <c r="F20" s="23"/>
      <c r="G20" s="23"/>
      <c r="H20" s="23"/>
      <c r="I20" s="23"/>
      <c r="J20" s="67">
        <v>1</v>
      </c>
      <c r="K20" s="28"/>
      <c r="L20" s="73"/>
      <c r="M20" s="146"/>
      <c r="O20" s="197"/>
      <c r="P20" s="436"/>
      <c r="Q20" s="442"/>
      <c r="R20" s="436"/>
      <c r="S20" s="234"/>
      <c r="T20" s="197"/>
      <c r="U20" s="207"/>
      <c r="V20" s="212"/>
    </row>
    <row r="21" spans="1:22" ht="14" x14ac:dyDescent="0.15">
      <c r="A21" s="65"/>
      <c r="B21" s="145" t="s">
        <v>421</v>
      </c>
      <c r="C21" s="23"/>
      <c r="D21" s="75" t="s">
        <v>493</v>
      </c>
      <c r="E21" s="23"/>
      <c r="F21" s="23"/>
      <c r="G21" s="23"/>
      <c r="H21" s="23"/>
      <c r="I21" s="23"/>
      <c r="J21" s="75">
        <f>2*8.33</f>
        <v>16.66</v>
      </c>
      <c r="K21" s="28">
        <v>117.66</v>
      </c>
      <c r="L21" s="73">
        <f t="shared" ref="L21:L23" si="4">SUM(J21*K21)</f>
        <v>1960.22</v>
      </c>
      <c r="M21" s="146" t="s">
        <v>415</v>
      </c>
      <c r="O21" s="197">
        <v>0.05</v>
      </c>
      <c r="P21" s="436"/>
      <c r="Q21" s="442"/>
      <c r="R21" s="436"/>
      <c r="S21" s="442">
        <v>0.95</v>
      </c>
      <c r="T21" s="197"/>
      <c r="U21" s="207">
        <f t="shared" ref="U21:U23" si="5">SUM(O21:T21)</f>
        <v>1</v>
      </c>
      <c r="V21" s="212">
        <f t="shared" ref="V21:V23" si="6">U21*L21</f>
        <v>1960.22</v>
      </c>
    </row>
    <row r="22" spans="1:22" ht="14" x14ac:dyDescent="0.15">
      <c r="A22" s="65"/>
      <c r="B22" s="145" t="s">
        <v>422</v>
      </c>
      <c r="C22" s="23"/>
      <c r="D22" s="75" t="s">
        <v>493</v>
      </c>
      <c r="E22" s="23"/>
      <c r="F22" s="23"/>
      <c r="G22" s="23"/>
      <c r="H22" s="23"/>
      <c r="I22" s="23"/>
      <c r="J22" s="75">
        <f>2*5.38</f>
        <v>10.76</v>
      </c>
      <c r="K22" s="28">
        <v>102.76</v>
      </c>
      <c r="L22" s="73">
        <f t="shared" si="4"/>
        <v>1105.7</v>
      </c>
      <c r="M22" s="146" t="s">
        <v>415</v>
      </c>
      <c r="O22" s="197">
        <v>0.05</v>
      </c>
      <c r="P22" s="436"/>
      <c r="Q22" s="442"/>
      <c r="R22" s="436"/>
      <c r="S22" s="442">
        <v>0.95</v>
      </c>
      <c r="T22" s="197"/>
      <c r="U22" s="207">
        <f t="shared" si="5"/>
        <v>1</v>
      </c>
      <c r="V22" s="212">
        <f t="shared" si="6"/>
        <v>1105.7</v>
      </c>
    </row>
    <row r="23" spans="1:22" ht="14" x14ac:dyDescent="0.15">
      <c r="A23" s="65"/>
      <c r="B23" s="145" t="s">
        <v>423</v>
      </c>
      <c r="C23" s="23"/>
      <c r="D23" s="75" t="s">
        <v>493</v>
      </c>
      <c r="E23" s="23"/>
      <c r="F23" s="23"/>
      <c r="G23" s="23"/>
      <c r="H23" s="23"/>
      <c r="I23" s="23"/>
      <c r="J23" s="75">
        <f>2.06+2*1.12</f>
        <v>4.3</v>
      </c>
      <c r="K23" s="28">
        <v>107.23</v>
      </c>
      <c r="L23" s="73">
        <f t="shared" si="4"/>
        <v>461.09</v>
      </c>
      <c r="M23" s="146" t="s">
        <v>415</v>
      </c>
      <c r="O23" s="197">
        <v>0.05</v>
      </c>
      <c r="P23" s="436"/>
      <c r="Q23" s="442"/>
      <c r="R23" s="436"/>
      <c r="S23" s="442">
        <v>0.95</v>
      </c>
      <c r="T23" s="197"/>
      <c r="U23" s="207">
        <f t="shared" si="5"/>
        <v>1</v>
      </c>
      <c r="V23" s="212">
        <f t="shared" si="6"/>
        <v>461.09</v>
      </c>
    </row>
    <row r="24" spans="1:22" ht="14" x14ac:dyDescent="0.15">
      <c r="A24" s="65"/>
      <c r="B24" s="23" t="s">
        <v>397</v>
      </c>
      <c r="C24" s="23"/>
      <c r="D24" s="75" t="s">
        <v>307</v>
      </c>
      <c r="E24" s="23"/>
      <c r="F24" s="23"/>
      <c r="G24" s="23"/>
      <c r="H24" s="23"/>
      <c r="I24" s="23"/>
      <c r="J24" s="67">
        <v>75.599999999999994</v>
      </c>
      <c r="K24" s="28">
        <v>105.81</v>
      </c>
      <c r="L24" s="73"/>
      <c r="M24" s="146"/>
      <c r="O24" s="197"/>
      <c r="P24" s="436"/>
      <c r="Q24" s="442"/>
      <c r="R24" s="436"/>
      <c r="S24" s="234"/>
      <c r="T24" s="197"/>
      <c r="U24" s="207"/>
      <c r="V24" s="212"/>
    </row>
    <row r="25" spans="1:22" ht="14" x14ac:dyDescent="0.15">
      <c r="A25" s="65"/>
      <c r="B25" s="23" t="s">
        <v>398</v>
      </c>
      <c r="C25" s="23"/>
      <c r="D25" s="75" t="s">
        <v>307</v>
      </c>
      <c r="E25" s="23"/>
      <c r="F25" s="23"/>
      <c r="G25" s="23"/>
      <c r="H25" s="23"/>
      <c r="I25" s="23"/>
      <c r="J25" s="67">
        <v>12.6</v>
      </c>
      <c r="K25" s="28">
        <v>124.68</v>
      </c>
      <c r="L25" s="73"/>
      <c r="M25" s="146"/>
      <c r="O25" s="197"/>
      <c r="P25" s="436"/>
      <c r="Q25" s="442"/>
      <c r="R25" s="436"/>
      <c r="S25" s="234"/>
      <c r="T25" s="197"/>
      <c r="U25" s="207"/>
      <c r="V25" s="212"/>
    </row>
    <row r="26" spans="1:22" ht="14" x14ac:dyDescent="0.15">
      <c r="A26" s="65"/>
      <c r="B26" s="145" t="s">
        <v>414</v>
      </c>
      <c r="C26" s="23"/>
      <c r="D26" s="75" t="s">
        <v>493</v>
      </c>
      <c r="E26" s="23"/>
      <c r="F26" s="23"/>
      <c r="G26" s="23"/>
      <c r="H26" s="23"/>
      <c r="I26" s="23"/>
      <c r="J26" s="75">
        <f>4*4.96</f>
        <v>19.84</v>
      </c>
      <c r="K26" s="28">
        <v>99.48</v>
      </c>
      <c r="L26" s="73">
        <f t="shared" ref="L26:L31" si="7">SUM(J26*K26)</f>
        <v>1973.68</v>
      </c>
      <c r="M26" s="146" t="s">
        <v>415</v>
      </c>
      <c r="O26" s="197">
        <v>0.05</v>
      </c>
      <c r="P26" s="436">
        <v>0.95</v>
      </c>
      <c r="Q26" s="442"/>
      <c r="R26" s="436"/>
      <c r="S26" s="234"/>
      <c r="T26" s="197"/>
      <c r="U26" s="207">
        <f t="shared" ref="U26:U27" si="8">SUM(O26:T26)</f>
        <v>1</v>
      </c>
      <c r="V26" s="212">
        <f t="shared" ref="V26:V27" si="9">U26*L26</f>
        <v>1973.68</v>
      </c>
    </row>
    <row r="27" spans="1:22" ht="14" x14ac:dyDescent="0.15">
      <c r="A27" s="65"/>
      <c r="B27" s="145" t="s">
        <v>416</v>
      </c>
      <c r="C27" s="23"/>
      <c r="D27" s="75" t="s">
        <v>493</v>
      </c>
      <c r="E27" s="23"/>
      <c r="F27" s="23"/>
      <c r="G27" s="23"/>
      <c r="H27" s="23"/>
      <c r="I27" s="23"/>
      <c r="J27" s="75">
        <f>4*6.33</f>
        <v>25.32</v>
      </c>
      <c r="K27" s="28">
        <v>111.59</v>
      </c>
      <c r="L27" s="73">
        <f t="shared" si="7"/>
        <v>2825.46</v>
      </c>
      <c r="M27" s="146" t="s">
        <v>415</v>
      </c>
      <c r="O27" s="197">
        <v>0.05</v>
      </c>
      <c r="P27" s="436">
        <v>0.95</v>
      </c>
      <c r="Q27" s="442"/>
      <c r="R27" s="436"/>
      <c r="S27" s="234"/>
      <c r="T27" s="197"/>
      <c r="U27" s="207">
        <f t="shared" si="8"/>
        <v>1</v>
      </c>
      <c r="V27" s="212">
        <f t="shared" si="9"/>
        <v>2825.46</v>
      </c>
    </row>
    <row r="28" spans="1:22" ht="28" x14ac:dyDescent="0.15">
      <c r="A28" s="65"/>
      <c r="B28" s="145" t="s">
        <v>419</v>
      </c>
      <c r="C28" s="23"/>
      <c r="D28" s="75"/>
      <c r="E28" s="23"/>
      <c r="F28" s="23"/>
      <c r="G28" s="23"/>
      <c r="H28" s="23"/>
      <c r="I28" s="23"/>
      <c r="J28" s="75"/>
      <c r="K28" s="28"/>
      <c r="L28" s="73"/>
      <c r="M28" s="146" t="s">
        <v>424</v>
      </c>
      <c r="O28" s="197"/>
      <c r="P28" s="436"/>
      <c r="Q28" s="442"/>
      <c r="R28" s="436"/>
      <c r="S28" s="234"/>
      <c r="T28" s="197"/>
      <c r="U28" s="207"/>
      <c r="V28" s="212"/>
    </row>
    <row r="29" spans="1:22" ht="14" x14ac:dyDescent="0.15">
      <c r="A29" s="65"/>
      <c r="B29" s="145" t="s">
        <v>417</v>
      </c>
      <c r="C29" s="23"/>
      <c r="D29" s="75" t="s">
        <v>493</v>
      </c>
      <c r="E29" s="23"/>
      <c r="F29" s="23"/>
      <c r="G29" s="23"/>
      <c r="H29" s="23"/>
      <c r="I29" s="23"/>
      <c r="J29" s="75">
        <v>4.96</v>
      </c>
      <c r="K29" s="28">
        <v>109.05</v>
      </c>
      <c r="L29" s="73">
        <f t="shared" si="7"/>
        <v>540.89</v>
      </c>
      <c r="M29" s="146" t="s">
        <v>415</v>
      </c>
      <c r="O29" s="197">
        <v>0.05</v>
      </c>
      <c r="P29" s="436">
        <v>0.95</v>
      </c>
      <c r="Q29" s="442"/>
      <c r="R29" s="436"/>
      <c r="S29" s="234"/>
      <c r="T29" s="197"/>
      <c r="U29" s="207">
        <f t="shared" ref="U29:U33" si="10">SUM(O29:T29)</f>
        <v>1</v>
      </c>
      <c r="V29" s="212">
        <f t="shared" ref="V29:V33" si="11">U29*L29</f>
        <v>540.89</v>
      </c>
    </row>
    <row r="30" spans="1:22" ht="14" x14ac:dyDescent="0.15">
      <c r="A30" s="65"/>
      <c r="B30" s="145" t="s">
        <v>418</v>
      </c>
      <c r="C30" s="23"/>
      <c r="D30" s="75" t="s">
        <v>493</v>
      </c>
      <c r="E30" s="23"/>
      <c r="F30" s="23"/>
      <c r="G30" s="23"/>
      <c r="H30" s="23"/>
      <c r="I30" s="23"/>
      <c r="J30" s="75">
        <v>6.33</v>
      </c>
      <c r="K30" s="28">
        <v>120</v>
      </c>
      <c r="L30" s="73">
        <f t="shared" si="7"/>
        <v>759.6</v>
      </c>
      <c r="M30" s="146" t="s">
        <v>415</v>
      </c>
      <c r="O30" s="197">
        <v>0.05</v>
      </c>
      <c r="P30" s="436">
        <v>0.95</v>
      </c>
      <c r="Q30" s="442"/>
      <c r="R30" s="436"/>
      <c r="S30" s="234"/>
      <c r="T30" s="197"/>
      <c r="U30" s="207">
        <f t="shared" si="10"/>
        <v>1</v>
      </c>
      <c r="V30" s="212">
        <f t="shared" si="11"/>
        <v>759.6</v>
      </c>
    </row>
    <row r="31" spans="1:22" ht="14" x14ac:dyDescent="0.15">
      <c r="A31" s="65"/>
      <c r="B31" s="145" t="s">
        <v>420</v>
      </c>
      <c r="C31" s="23"/>
      <c r="D31" s="75" t="s">
        <v>493</v>
      </c>
      <c r="E31" s="23"/>
      <c r="F31" s="23"/>
      <c r="G31" s="23"/>
      <c r="H31" s="23"/>
      <c r="I31" s="23"/>
      <c r="J31" s="75">
        <f>2*8*2.53+8*1.42</f>
        <v>51.84</v>
      </c>
      <c r="K31" s="28">
        <v>27.24</v>
      </c>
      <c r="L31" s="73">
        <f t="shared" si="7"/>
        <v>1412.12</v>
      </c>
      <c r="M31" s="146" t="s">
        <v>415</v>
      </c>
      <c r="O31" s="197">
        <v>0.05</v>
      </c>
      <c r="P31" s="436"/>
      <c r="Q31" s="442"/>
      <c r="R31" s="436">
        <v>0.95</v>
      </c>
      <c r="S31" s="234"/>
      <c r="T31" s="197"/>
      <c r="U31" s="207">
        <f t="shared" si="10"/>
        <v>1</v>
      </c>
      <c r="V31" s="212">
        <f t="shared" si="11"/>
        <v>1412.12</v>
      </c>
    </row>
    <row r="32" spans="1:22" ht="14" x14ac:dyDescent="0.15">
      <c r="A32" s="65"/>
      <c r="B32" s="23" t="s">
        <v>399</v>
      </c>
      <c r="C32" s="23"/>
      <c r="D32" s="75" t="s">
        <v>493</v>
      </c>
      <c r="E32" s="23"/>
      <c r="F32" s="23"/>
      <c r="G32" s="23"/>
      <c r="H32" s="23"/>
      <c r="I32" s="23"/>
      <c r="J32" s="67">
        <v>576</v>
      </c>
      <c r="K32" s="28">
        <v>24.99</v>
      </c>
      <c r="L32" s="73">
        <f t="shared" ref="L32:L41" si="12">SUM(J32*K32)</f>
        <v>14394.24</v>
      </c>
      <c r="M32" s="146"/>
      <c r="O32" s="197">
        <v>0.05</v>
      </c>
      <c r="P32" s="436">
        <v>0.2</v>
      </c>
      <c r="Q32" s="442"/>
      <c r="R32" s="436">
        <v>0.25</v>
      </c>
      <c r="S32" s="234">
        <v>0.5</v>
      </c>
      <c r="T32" s="197"/>
      <c r="U32" s="207">
        <f t="shared" si="10"/>
        <v>1</v>
      </c>
      <c r="V32" s="212">
        <f t="shared" si="11"/>
        <v>14394.24</v>
      </c>
    </row>
    <row r="33" spans="1:23" ht="14" x14ac:dyDescent="0.15">
      <c r="A33" s="65"/>
      <c r="B33" s="23" t="s">
        <v>400</v>
      </c>
      <c r="C33" s="23"/>
      <c r="D33" s="75" t="s">
        <v>9</v>
      </c>
      <c r="E33" s="23"/>
      <c r="F33" s="23"/>
      <c r="G33" s="23"/>
      <c r="H33" s="23"/>
      <c r="I33" s="23"/>
      <c r="J33" s="67">
        <f>+SvE!L32</f>
        <v>202.84</v>
      </c>
      <c r="K33" s="28">
        <v>14.35</v>
      </c>
      <c r="L33" s="73">
        <f t="shared" si="12"/>
        <v>2910.75</v>
      </c>
      <c r="M33" s="146"/>
      <c r="O33" s="197">
        <v>0.05</v>
      </c>
      <c r="P33" s="436">
        <v>0.25</v>
      </c>
      <c r="Q33" s="442"/>
      <c r="R33" s="436"/>
      <c r="S33" s="234">
        <v>0.7</v>
      </c>
      <c r="T33" s="197"/>
      <c r="U33" s="207">
        <f t="shared" si="10"/>
        <v>1</v>
      </c>
      <c r="V33" s="212">
        <f t="shared" si="11"/>
        <v>2910.75</v>
      </c>
      <c r="W33" s="455" t="s">
        <v>532</v>
      </c>
    </row>
    <row r="34" spans="1:23" ht="14.5" customHeight="1" x14ac:dyDescent="0.15">
      <c r="A34" s="65"/>
      <c r="B34" s="23" t="s">
        <v>401</v>
      </c>
      <c r="C34" s="23"/>
      <c r="D34" s="75" t="s">
        <v>385</v>
      </c>
      <c r="E34" s="23"/>
      <c r="F34" s="23"/>
      <c r="G34" s="23"/>
      <c r="H34" s="23"/>
      <c r="I34" s="23"/>
      <c r="J34" s="67">
        <v>1</v>
      </c>
      <c r="K34" s="28"/>
      <c r="L34" s="73"/>
      <c r="M34" s="146" t="s">
        <v>425</v>
      </c>
      <c r="O34" s="197"/>
      <c r="P34" s="436"/>
      <c r="Q34" s="442"/>
      <c r="R34" s="436"/>
      <c r="S34" s="234"/>
      <c r="T34" s="197"/>
      <c r="U34" s="207"/>
      <c r="V34" s="212"/>
    </row>
    <row r="35" spans="1:23" ht="14" x14ac:dyDescent="0.15">
      <c r="A35" s="65"/>
      <c r="B35" s="23" t="s">
        <v>402</v>
      </c>
      <c r="C35" s="23"/>
      <c r="D35" s="75" t="s">
        <v>9</v>
      </c>
      <c r="E35" s="23"/>
      <c r="F35" s="23"/>
      <c r="G35" s="23"/>
      <c r="H35" s="23"/>
      <c r="I35" s="23"/>
      <c r="J35" s="67">
        <f>+SvE!L32</f>
        <v>202.84</v>
      </c>
      <c r="K35" s="28">
        <v>19.45</v>
      </c>
      <c r="L35" s="73">
        <f t="shared" si="12"/>
        <v>3945.24</v>
      </c>
      <c r="M35" s="146" t="s">
        <v>407</v>
      </c>
      <c r="O35" s="197">
        <v>0.05</v>
      </c>
      <c r="P35" s="436"/>
      <c r="Q35" s="442"/>
      <c r="R35" s="436"/>
      <c r="S35" s="234">
        <v>0.95</v>
      </c>
      <c r="T35" s="197"/>
      <c r="U35" s="207">
        <f t="shared" ref="U35:U41" si="13">SUM(O35:T35)</f>
        <v>1</v>
      </c>
      <c r="V35" s="212">
        <f t="shared" ref="V35:V41" si="14">U35*L35</f>
        <v>3945.24</v>
      </c>
    </row>
    <row r="36" spans="1:23" ht="14" x14ac:dyDescent="0.15">
      <c r="A36" s="65"/>
      <c r="B36" s="275" t="s">
        <v>531</v>
      </c>
      <c r="C36" s="276"/>
      <c r="D36" s="75" t="s">
        <v>494</v>
      </c>
      <c r="E36" s="276"/>
      <c r="F36" s="276"/>
      <c r="G36" s="276"/>
      <c r="H36" s="276"/>
      <c r="I36" s="276"/>
      <c r="J36" s="277">
        <f>+SvE!L32</f>
        <v>202.84</v>
      </c>
      <c r="K36" s="28">
        <v>85.56</v>
      </c>
      <c r="L36" s="73">
        <f t="shared" si="12"/>
        <v>17354.990000000002</v>
      </c>
      <c r="M36" s="146"/>
      <c r="O36" s="197">
        <v>0.05</v>
      </c>
      <c r="P36" s="436">
        <v>0.25</v>
      </c>
      <c r="Q36" s="442"/>
      <c r="R36" s="436"/>
      <c r="S36" s="234">
        <v>0.7</v>
      </c>
      <c r="T36" s="197"/>
      <c r="U36" s="207">
        <f t="shared" si="13"/>
        <v>1</v>
      </c>
      <c r="V36" s="212">
        <f t="shared" si="14"/>
        <v>17354.990000000002</v>
      </c>
      <c r="W36" s="455" t="s">
        <v>532</v>
      </c>
    </row>
    <row r="37" spans="1:23" ht="14" x14ac:dyDescent="0.15">
      <c r="A37" s="65"/>
      <c r="B37" s="23" t="s">
        <v>403</v>
      </c>
      <c r="C37" s="23"/>
      <c r="D37" s="75" t="s">
        <v>493</v>
      </c>
      <c r="E37" s="23"/>
      <c r="F37" s="23"/>
      <c r="G37" s="23"/>
      <c r="H37" s="23"/>
      <c r="I37" s="23"/>
      <c r="J37" s="67">
        <v>43</v>
      </c>
      <c r="K37" s="28">
        <v>66.7</v>
      </c>
      <c r="L37" s="73">
        <f t="shared" si="12"/>
        <v>2868.1</v>
      </c>
      <c r="M37" s="146"/>
      <c r="O37" s="197">
        <v>0.05</v>
      </c>
      <c r="P37" s="436"/>
      <c r="Q37" s="442"/>
      <c r="R37" s="436"/>
      <c r="S37" s="234">
        <v>0.95</v>
      </c>
      <c r="T37" s="197"/>
      <c r="U37" s="207">
        <f t="shared" si="13"/>
        <v>1</v>
      </c>
      <c r="V37" s="212">
        <f t="shared" si="14"/>
        <v>2868.1</v>
      </c>
    </row>
    <row r="38" spans="1:23" ht="14" x14ac:dyDescent="0.15">
      <c r="A38" s="65"/>
      <c r="B38" s="145" t="s">
        <v>484</v>
      </c>
      <c r="C38" s="276"/>
      <c r="D38" s="75" t="s">
        <v>493</v>
      </c>
      <c r="E38" s="276"/>
      <c r="F38" s="276"/>
      <c r="G38" s="276"/>
      <c r="H38" s="276"/>
      <c r="I38" s="276"/>
      <c r="J38" s="277">
        <f>+SvE!L43</f>
        <v>11.8</v>
      </c>
      <c r="K38" s="28">
        <v>112.16</v>
      </c>
      <c r="L38" s="73">
        <f t="shared" ref="L38" si="15">SUM(J38*K38)</f>
        <v>1323.49</v>
      </c>
      <c r="M38" s="146"/>
      <c r="O38" s="197">
        <v>0.05</v>
      </c>
      <c r="P38" s="436"/>
      <c r="Q38" s="442"/>
      <c r="R38" s="436"/>
      <c r="S38" s="234">
        <v>0.95</v>
      </c>
      <c r="T38" s="197"/>
      <c r="U38" s="207">
        <f t="shared" si="13"/>
        <v>1</v>
      </c>
      <c r="V38" s="212">
        <f t="shared" si="14"/>
        <v>1323.49</v>
      </c>
    </row>
    <row r="39" spans="1:23" ht="28" x14ac:dyDescent="0.15">
      <c r="A39" s="65"/>
      <c r="B39" s="23" t="s">
        <v>404</v>
      </c>
      <c r="C39" s="23"/>
      <c r="D39" s="75" t="s">
        <v>495</v>
      </c>
      <c r="E39" s="23"/>
      <c r="F39" s="23"/>
      <c r="G39" s="23"/>
      <c r="H39" s="23"/>
      <c r="I39" s="23"/>
      <c r="J39" s="67">
        <v>23</v>
      </c>
      <c r="K39" s="28">
        <v>150</v>
      </c>
      <c r="L39" s="73">
        <f t="shared" si="12"/>
        <v>3450</v>
      </c>
      <c r="M39" s="146" t="s">
        <v>378</v>
      </c>
      <c r="O39" s="196">
        <v>0.05</v>
      </c>
      <c r="P39" s="438"/>
      <c r="Q39" s="479"/>
      <c r="R39" s="437"/>
      <c r="S39" s="496">
        <v>0.95</v>
      </c>
      <c r="T39" s="196"/>
      <c r="U39" s="207">
        <f t="shared" si="13"/>
        <v>1</v>
      </c>
      <c r="V39" s="212">
        <f t="shared" si="14"/>
        <v>3450</v>
      </c>
    </row>
    <row r="40" spans="1:23" ht="14" x14ac:dyDescent="0.15">
      <c r="A40" s="65"/>
      <c r="B40" s="23" t="s">
        <v>405</v>
      </c>
      <c r="C40" s="23"/>
      <c r="D40" s="75" t="s">
        <v>493</v>
      </c>
      <c r="E40" s="23"/>
      <c r="F40" s="23"/>
      <c r="G40" s="23"/>
      <c r="H40" s="23"/>
      <c r="I40" s="23"/>
      <c r="J40" s="67">
        <v>30</v>
      </c>
      <c r="K40" s="28">
        <v>67.8</v>
      </c>
      <c r="L40" s="73">
        <f t="shared" si="12"/>
        <v>2034</v>
      </c>
      <c r="M40" s="146"/>
      <c r="O40" s="197">
        <v>0.05</v>
      </c>
      <c r="P40" s="435"/>
      <c r="Q40" s="442"/>
      <c r="R40" s="436"/>
      <c r="S40" s="442">
        <v>0.95</v>
      </c>
      <c r="T40" s="197"/>
      <c r="U40" s="207">
        <f t="shared" si="13"/>
        <v>1</v>
      </c>
      <c r="V40" s="212">
        <f t="shared" si="14"/>
        <v>2034</v>
      </c>
    </row>
    <row r="41" spans="1:23" s="362" customFormat="1" ht="28" x14ac:dyDescent="0.15">
      <c r="A41" s="65"/>
      <c r="B41" s="23" t="s">
        <v>406</v>
      </c>
      <c r="C41" s="23"/>
      <c r="D41" s="75" t="s">
        <v>385</v>
      </c>
      <c r="E41" s="23"/>
      <c r="F41" s="23"/>
      <c r="G41" s="23"/>
      <c r="H41" s="23"/>
      <c r="I41" s="23"/>
      <c r="J41" s="67">
        <v>2</v>
      </c>
      <c r="K41" s="28">
        <v>485</v>
      </c>
      <c r="L41" s="73">
        <f t="shared" si="12"/>
        <v>970</v>
      </c>
      <c r="M41" s="146"/>
      <c r="O41" s="196">
        <v>0.05</v>
      </c>
      <c r="P41" s="438"/>
      <c r="Q41" s="479"/>
      <c r="R41" s="437"/>
      <c r="S41" s="479">
        <v>0.45</v>
      </c>
      <c r="T41" s="196">
        <v>0</v>
      </c>
      <c r="U41" s="207">
        <f t="shared" si="13"/>
        <v>0.5</v>
      </c>
      <c r="V41" s="212">
        <f t="shared" si="14"/>
        <v>485</v>
      </c>
      <c r="W41" s="577" t="s">
        <v>848</v>
      </c>
    </row>
    <row r="42" spans="1:23" ht="14" x14ac:dyDescent="0.15">
      <c r="A42" s="65"/>
      <c r="B42" s="23" t="s">
        <v>459</v>
      </c>
      <c r="C42" s="23"/>
      <c r="D42" s="75"/>
      <c r="E42" s="23"/>
      <c r="F42" s="23"/>
      <c r="G42" s="23"/>
      <c r="H42" s="23"/>
      <c r="I42" s="23"/>
      <c r="J42" s="67"/>
      <c r="K42" s="28"/>
      <c r="L42" s="73"/>
      <c r="M42" s="146"/>
      <c r="O42" s="197"/>
      <c r="P42" s="435"/>
      <c r="Q42" s="442"/>
      <c r="R42" s="436"/>
      <c r="S42" s="234"/>
      <c r="T42" s="197"/>
      <c r="U42" s="207"/>
      <c r="V42" s="212"/>
    </row>
    <row r="43" spans="1:23" ht="14" x14ac:dyDescent="0.15">
      <c r="A43" s="63"/>
      <c r="B43" s="23" t="s">
        <v>449</v>
      </c>
      <c r="C43" s="23"/>
      <c r="D43" s="75" t="s">
        <v>495</v>
      </c>
      <c r="E43" s="23"/>
      <c r="F43" s="23"/>
      <c r="G43" s="23"/>
      <c r="H43" s="23"/>
      <c r="I43" s="23"/>
      <c r="J43" s="67">
        <f>7*0.92+0.77+0.48+0.22+1.3+1.551+0.92+2.57+7*0.96+0.54+0.28+1.24+1.21+0.96+2.22</f>
        <v>27.42</v>
      </c>
      <c r="K43" s="28">
        <v>102.76</v>
      </c>
      <c r="L43" s="73">
        <v>2817.68</v>
      </c>
      <c r="M43" s="278" t="s">
        <v>458</v>
      </c>
      <c r="O43" s="197">
        <v>0.05</v>
      </c>
      <c r="P43" s="435"/>
      <c r="Q43" s="442"/>
      <c r="R43" s="436"/>
      <c r="S43" s="442">
        <v>0.95</v>
      </c>
      <c r="T43" s="197"/>
      <c r="U43" s="207">
        <f t="shared" ref="U43:U49" si="16">SUM(O43:T43)</f>
        <v>1</v>
      </c>
      <c r="V43" s="212">
        <f t="shared" ref="V43:V49" si="17">U43*L43</f>
        <v>2817.68</v>
      </c>
    </row>
    <row r="44" spans="1:23" ht="14" x14ac:dyDescent="0.15">
      <c r="A44" s="65"/>
      <c r="B44" s="23" t="s">
        <v>450</v>
      </c>
      <c r="C44" s="23"/>
      <c r="D44" s="75" t="s">
        <v>494</v>
      </c>
      <c r="E44" s="23"/>
      <c r="F44" s="23"/>
      <c r="G44" s="23"/>
      <c r="H44" s="23"/>
      <c r="I44" s="23"/>
      <c r="J44" s="67">
        <f>2*(2.07+0.69)</f>
        <v>5.52</v>
      </c>
      <c r="K44" s="28">
        <v>47.65</v>
      </c>
      <c r="L44" s="73">
        <v>263.02999999999997</v>
      </c>
      <c r="M44" s="146"/>
      <c r="O44" s="197">
        <v>0.05</v>
      </c>
      <c r="P44" s="435"/>
      <c r="Q44" s="442"/>
      <c r="R44" s="436"/>
      <c r="S44" s="442">
        <v>0.95</v>
      </c>
      <c r="T44" s="197"/>
      <c r="U44" s="207">
        <f t="shared" si="16"/>
        <v>1</v>
      </c>
      <c r="V44" s="212">
        <f t="shared" si="17"/>
        <v>263.02999999999997</v>
      </c>
    </row>
    <row r="45" spans="1:23" ht="14" x14ac:dyDescent="0.15">
      <c r="A45" s="65"/>
      <c r="B45" s="576" t="s">
        <v>849</v>
      </c>
      <c r="C45" s="576"/>
      <c r="D45" s="573" t="s">
        <v>494</v>
      </c>
      <c r="E45" s="576"/>
      <c r="F45" s="576"/>
      <c r="G45" s="576"/>
      <c r="H45" s="576"/>
      <c r="I45" s="576"/>
      <c r="J45" s="573">
        <f>-(2.07+0.69)</f>
        <v>-2.76</v>
      </c>
      <c r="K45" s="574">
        <v>47.65</v>
      </c>
      <c r="L45" s="575">
        <f>+J45*K45</f>
        <v>-131.51</v>
      </c>
      <c r="M45" s="146"/>
      <c r="O45" s="197"/>
      <c r="P45" s="435"/>
      <c r="Q45" s="442"/>
      <c r="R45" s="436"/>
      <c r="S45" s="442">
        <v>1</v>
      </c>
      <c r="T45" s="197"/>
      <c r="U45" s="207">
        <f t="shared" ref="U45" si="18">SUM(O45:T45)</f>
        <v>1</v>
      </c>
      <c r="V45" s="212">
        <f t="shared" ref="V45" si="19">U45*L45</f>
        <v>-131.51</v>
      </c>
    </row>
    <row r="46" spans="1:23" ht="14" x14ac:dyDescent="0.15">
      <c r="A46" s="65"/>
      <c r="B46" s="23" t="s">
        <v>451</v>
      </c>
      <c r="C46" s="23"/>
      <c r="D46" s="75" t="s">
        <v>494</v>
      </c>
      <c r="E46" s="23"/>
      <c r="F46" s="23"/>
      <c r="G46" s="23"/>
      <c r="H46" s="23"/>
      <c r="I46" s="23"/>
      <c r="J46" s="67">
        <f>+J44/2</f>
        <v>2.76</v>
      </c>
      <c r="K46" s="28">
        <v>37.24</v>
      </c>
      <c r="L46" s="73" t="s">
        <v>309</v>
      </c>
      <c r="M46" s="146" t="s">
        <v>463</v>
      </c>
      <c r="O46" s="197"/>
      <c r="P46" s="435"/>
      <c r="Q46" s="442"/>
      <c r="R46" s="436"/>
      <c r="S46" s="234"/>
      <c r="T46" s="197"/>
      <c r="U46" s="207"/>
      <c r="V46" s="212"/>
    </row>
    <row r="47" spans="1:23" ht="14" x14ac:dyDescent="0.15">
      <c r="A47" s="65"/>
      <c r="B47" s="23" t="s">
        <v>462</v>
      </c>
      <c r="C47" s="23"/>
      <c r="D47" s="75" t="s">
        <v>304</v>
      </c>
      <c r="E47" s="23"/>
      <c r="F47" s="23"/>
      <c r="G47" s="23"/>
      <c r="H47" s="23"/>
      <c r="I47" s="23"/>
      <c r="J47" s="67">
        <f>(2.57*0.43+2.22*0.14)*0.25</f>
        <v>0.35</v>
      </c>
      <c r="K47" s="28">
        <v>695</v>
      </c>
      <c r="L47" s="73">
        <v>243.25</v>
      </c>
      <c r="M47" s="146"/>
      <c r="O47" s="197">
        <v>0.05</v>
      </c>
      <c r="P47" s="435"/>
      <c r="Q47" s="442"/>
      <c r="R47" s="436"/>
      <c r="S47" s="442">
        <v>0.95</v>
      </c>
      <c r="T47" s="197"/>
      <c r="U47" s="207">
        <f t="shared" si="16"/>
        <v>1</v>
      </c>
      <c r="V47" s="212">
        <f t="shared" si="17"/>
        <v>243.25</v>
      </c>
    </row>
    <row r="48" spans="1:23" ht="14" x14ac:dyDescent="0.15">
      <c r="A48" s="65"/>
      <c r="B48" s="23" t="s">
        <v>460</v>
      </c>
      <c r="C48" s="23"/>
      <c r="D48" s="75" t="s">
        <v>297</v>
      </c>
      <c r="E48" s="23"/>
      <c r="F48" s="23"/>
      <c r="G48" s="23"/>
      <c r="H48" s="23"/>
      <c r="I48" s="23"/>
      <c r="J48" s="67">
        <f>(2.57+2.22)*0.25*2</f>
        <v>2.4</v>
      </c>
      <c r="K48" s="28">
        <v>115.17</v>
      </c>
      <c r="L48" s="73">
        <v>276.41000000000003</v>
      </c>
      <c r="M48" s="146"/>
      <c r="O48" s="197">
        <v>0.05</v>
      </c>
      <c r="P48" s="435"/>
      <c r="Q48" s="442"/>
      <c r="R48" s="436"/>
      <c r="S48" s="442">
        <v>0.95</v>
      </c>
      <c r="T48" s="197"/>
      <c r="U48" s="207">
        <f t="shared" si="16"/>
        <v>1</v>
      </c>
      <c r="V48" s="212">
        <f t="shared" si="17"/>
        <v>276.41000000000003</v>
      </c>
    </row>
    <row r="49" spans="1:22" ht="14" x14ac:dyDescent="0.15">
      <c r="A49" s="65"/>
      <c r="B49" s="23" t="s">
        <v>461</v>
      </c>
      <c r="C49" s="23"/>
      <c r="D49" s="75" t="s">
        <v>305</v>
      </c>
      <c r="E49" s="23"/>
      <c r="F49" s="23"/>
      <c r="G49" s="23"/>
      <c r="H49" s="23"/>
      <c r="I49" s="23"/>
      <c r="J49" s="67">
        <f>82*J47</f>
        <v>28.7</v>
      </c>
      <c r="K49" s="28">
        <v>4.8499999999999996</v>
      </c>
      <c r="L49" s="73">
        <v>139.19999999999999</v>
      </c>
      <c r="M49" s="146"/>
      <c r="O49" s="202">
        <v>0.05</v>
      </c>
      <c r="P49" s="440"/>
      <c r="Q49" s="444"/>
      <c r="R49" s="441"/>
      <c r="S49" s="442">
        <v>0.95</v>
      </c>
      <c r="T49" s="202"/>
      <c r="U49" s="211">
        <f t="shared" si="16"/>
        <v>1</v>
      </c>
      <c r="V49" s="228">
        <f t="shared" si="17"/>
        <v>139.19999999999999</v>
      </c>
    </row>
    <row r="51" spans="1:22" ht="15" thickBot="1" x14ac:dyDescent="0.2">
      <c r="L51" s="144">
        <f>SUM(L1:L50)</f>
        <v>99875.56</v>
      </c>
      <c r="U51" s="229"/>
      <c r="V51" s="230">
        <f>SUM(V5:V49)</f>
        <v>99390.56</v>
      </c>
    </row>
  </sheetData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D79F-28EC-4D03-89E3-681EBD275BA8}">
  <dimension ref="A1"/>
  <sheetViews>
    <sheetView workbookViewId="0">
      <selection activeCell="W47" sqref="W47:W48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D3E22-F95E-4CA2-ACBA-09F8B4181A9C}">
  <sheetPr>
    <tabColor theme="0" tint="-0.14999847407452621"/>
  </sheetPr>
  <dimension ref="A2:W17"/>
  <sheetViews>
    <sheetView zoomScale="120" zoomScaleNormal="120" workbookViewId="0">
      <selection activeCell="V8" sqref="V8:W9"/>
    </sheetView>
  </sheetViews>
  <sheetFormatPr baseColWidth="10" defaultRowHeight="13" x14ac:dyDescent="0.15"/>
  <cols>
    <col min="1" max="1" width="9.83203125" customWidth="1"/>
    <col min="2" max="2" width="66" customWidth="1"/>
    <col min="3" max="3" width="5.5" bestFit="1" customWidth="1"/>
    <col min="4" max="4" width="10.1640625" customWidth="1"/>
    <col min="5" max="5" width="6.83203125" customWidth="1"/>
    <col min="6" max="6" width="7.83203125" customWidth="1"/>
    <col min="7" max="7" width="6.83203125" customWidth="1"/>
    <col min="8" max="8" width="9.5" customWidth="1"/>
    <col min="9" max="9" width="8.83203125" customWidth="1"/>
    <col min="10" max="10" width="13.83203125" bestFit="1" customWidth="1"/>
    <col min="11" max="11" width="10.83203125" customWidth="1"/>
    <col min="12" max="12" width="12.83203125" bestFit="1" customWidth="1"/>
    <col min="13" max="13" width="3" customWidth="1"/>
    <col min="14" max="14" width="13.5" customWidth="1"/>
    <col min="15" max="15" width="23.1640625" customWidth="1"/>
    <col min="16" max="16" width="5.5" bestFit="1" customWidth="1"/>
    <col min="17" max="17" width="7.33203125" bestFit="1" customWidth="1"/>
    <col min="18" max="18" width="7.33203125" style="114" bestFit="1" customWidth="1"/>
    <col min="19" max="19" width="7.6640625" style="116" customWidth="1"/>
    <col min="20" max="20" width="5.5" style="116" bestFit="1" customWidth="1"/>
    <col min="21" max="21" width="5.5" bestFit="1" customWidth="1"/>
    <col min="22" max="22" width="8.1640625" bestFit="1" customWidth="1"/>
  </cols>
  <sheetData>
    <row r="2" spans="1:23" ht="15" customHeight="1" thickBot="1" x14ac:dyDescent="0.2">
      <c r="A2" s="46" t="s">
        <v>533</v>
      </c>
      <c r="B2" s="47"/>
      <c r="C2" s="48"/>
      <c r="D2" s="49"/>
      <c r="E2" s="50"/>
      <c r="F2" s="50"/>
      <c r="G2" s="50"/>
      <c r="H2" s="50"/>
      <c r="I2" s="51"/>
      <c r="J2" s="51"/>
      <c r="K2" s="8"/>
      <c r="L2" s="52"/>
      <c r="M2" s="11"/>
      <c r="N2" s="11"/>
      <c r="O2" s="107"/>
      <c r="P2" s="216" t="s">
        <v>511</v>
      </c>
      <c r="Q2" s="453" t="s">
        <v>512</v>
      </c>
      <c r="R2" s="377" t="s">
        <v>513</v>
      </c>
      <c r="S2" s="493" t="s">
        <v>514</v>
      </c>
      <c r="T2" s="495" t="s">
        <v>515</v>
      </c>
      <c r="U2" s="216" t="s">
        <v>516</v>
      </c>
      <c r="V2" s="216" t="s">
        <v>509</v>
      </c>
      <c r="W2" s="186" t="s">
        <v>510</v>
      </c>
    </row>
    <row r="3" spans="1:23" x14ac:dyDescent="0.15">
      <c r="A3" s="83"/>
      <c r="B3" s="83"/>
      <c r="C3" s="54"/>
      <c r="D3" s="239"/>
      <c r="E3" s="55"/>
      <c r="F3" s="55"/>
      <c r="G3" s="55"/>
      <c r="H3" s="55"/>
      <c r="I3" s="56"/>
      <c r="J3" s="56"/>
      <c r="K3" s="17"/>
      <c r="L3" s="32"/>
      <c r="M3" s="11"/>
      <c r="N3" s="11"/>
      <c r="O3" s="107"/>
      <c r="P3" s="197"/>
      <c r="Q3" s="435"/>
      <c r="R3" s="238"/>
      <c r="S3" s="442"/>
      <c r="T3" s="234"/>
      <c r="U3" s="197"/>
      <c r="V3" s="207"/>
      <c r="W3" s="189"/>
    </row>
    <row r="4" spans="1:23" s="250" customFormat="1" x14ac:dyDescent="0.15">
      <c r="A4" s="240"/>
      <c r="B4" s="241" t="s">
        <v>542</v>
      </c>
      <c r="C4" s="242"/>
      <c r="D4" s="243"/>
      <c r="E4" s="243"/>
      <c r="F4" s="243"/>
      <c r="G4" s="243"/>
      <c r="H4" s="243"/>
      <c r="I4" s="244"/>
      <c r="J4" s="244"/>
      <c r="K4" s="245"/>
      <c r="L4" s="246"/>
      <c r="M4" s="134"/>
      <c r="N4" s="247"/>
      <c r="O4" s="107"/>
      <c r="P4" s="248"/>
      <c r="Q4" s="435"/>
      <c r="R4" s="436"/>
      <c r="S4" s="435"/>
      <c r="T4" s="215"/>
      <c r="U4" s="248"/>
      <c r="V4" s="207"/>
      <c r="W4" s="249"/>
    </row>
    <row r="5" spans="1:23" s="23" customFormat="1" x14ac:dyDescent="0.15">
      <c r="A5" s="65" t="s">
        <v>537</v>
      </c>
      <c r="B5" s="65" t="s">
        <v>543</v>
      </c>
      <c r="C5" s="66"/>
      <c r="D5" s="67"/>
      <c r="E5" s="68"/>
      <c r="F5" s="67"/>
      <c r="G5" s="67"/>
      <c r="H5" s="67"/>
      <c r="I5" s="67"/>
      <c r="J5" s="75"/>
      <c r="K5" s="28"/>
      <c r="L5" s="73"/>
      <c r="M5" s="11"/>
      <c r="N5" s="11"/>
      <c r="O5" s="107"/>
      <c r="P5" s="197"/>
      <c r="Q5" s="435"/>
      <c r="R5" s="238"/>
      <c r="S5" s="442"/>
      <c r="T5" s="234"/>
      <c r="U5" s="197"/>
      <c r="V5" s="207"/>
      <c r="W5" s="189"/>
    </row>
    <row r="6" spans="1:23" x14ac:dyDescent="0.15">
      <c r="A6" s="65"/>
      <c r="B6" s="65" t="s">
        <v>544</v>
      </c>
      <c r="C6" s="66">
        <v>1</v>
      </c>
      <c r="D6" s="67" t="s">
        <v>308</v>
      </c>
      <c r="E6" s="68"/>
      <c r="F6" s="67"/>
      <c r="G6" s="67"/>
      <c r="H6" s="67"/>
      <c r="I6" s="67"/>
      <c r="J6" s="67">
        <v>0</v>
      </c>
      <c r="K6" s="28">
        <v>190</v>
      </c>
      <c r="L6" s="73">
        <f t="shared" ref="L6:L7" si="0">SUM(J6*K6)</f>
        <v>0</v>
      </c>
      <c r="M6" s="11"/>
      <c r="N6" s="11"/>
      <c r="O6" s="107"/>
      <c r="P6" s="197"/>
      <c r="Q6" s="435"/>
      <c r="R6" s="238"/>
      <c r="S6" s="442"/>
      <c r="T6" s="234"/>
      <c r="U6" s="197">
        <v>0</v>
      </c>
      <c r="V6" s="207">
        <f t="shared" ref="V6:V7" si="1">SUM(P6:U6)</f>
        <v>0</v>
      </c>
      <c r="W6" s="212">
        <f>V6*L6</f>
        <v>0</v>
      </c>
    </row>
    <row r="7" spans="1:23" x14ac:dyDescent="0.15">
      <c r="A7" s="65"/>
      <c r="B7" s="65" t="s">
        <v>545</v>
      </c>
      <c r="C7" s="66">
        <v>1</v>
      </c>
      <c r="D7" s="67" t="s">
        <v>308</v>
      </c>
      <c r="E7" s="68"/>
      <c r="F7" s="67"/>
      <c r="G7" s="67"/>
      <c r="H7" s="67"/>
      <c r="I7" s="67"/>
      <c r="J7" s="67">
        <v>0</v>
      </c>
      <c r="K7" s="28">
        <v>225</v>
      </c>
      <c r="L7" s="73">
        <f t="shared" si="0"/>
        <v>0</v>
      </c>
      <c r="M7" s="11"/>
      <c r="N7" s="11"/>
      <c r="O7" s="107"/>
      <c r="P7" s="197"/>
      <c r="Q7" s="435"/>
      <c r="R7" s="238"/>
      <c r="S7" s="436"/>
      <c r="T7" s="234"/>
      <c r="U7" s="197">
        <v>0</v>
      </c>
      <c r="V7" s="207">
        <f t="shared" si="1"/>
        <v>0</v>
      </c>
      <c r="W7" s="212">
        <f t="shared" ref="W7" si="2">V7*L7</f>
        <v>0</v>
      </c>
    </row>
    <row r="8" spans="1:23" x14ac:dyDescent="0.15">
      <c r="A8" s="65"/>
      <c r="B8" s="324" t="s">
        <v>660</v>
      </c>
      <c r="C8" s="323">
        <v>1</v>
      </c>
      <c r="D8" s="286" t="s">
        <v>308</v>
      </c>
      <c r="E8" s="288"/>
      <c r="F8" s="286"/>
      <c r="G8" s="286"/>
      <c r="H8" s="286"/>
      <c r="I8" s="286"/>
      <c r="J8" s="286">
        <v>9</v>
      </c>
      <c r="K8" s="289">
        <v>225</v>
      </c>
      <c r="L8" s="290">
        <f t="shared" ref="L8:L9" si="3">SUM(J8*K8)</f>
        <v>2025</v>
      </c>
      <c r="M8" s="11"/>
      <c r="N8" s="469" t="s">
        <v>730</v>
      </c>
      <c r="O8" s="470"/>
      <c r="P8" s="238"/>
      <c r="Q8" s="435"/>
      <c r="R8" s="238">
        <v>1</v>
      </c>
      <c r="S8" s="436"/>
      <c r="T8" s="442"/>
      <c r="U8" s="238"/>
      <c r="V8" s="380">
        <f t="shared" ref="V8" si="4">SUM(P8:U8)</f>
        <v>1</v>
      </c>
      <c r="W8" s="237">
        <f t="shared" ref="W8:W9" si="5">V8*L8</f>
        <v>2025</v>
      </c>
    </row>
    <row r="9" spans="1:23" x14ac:dyDescent="0.15">
      <c r="A9" s="65"/>
      <c r="B9" s="471" t="s">
        <v>731</v>
      </c>
      <c r="C9" s="472"/>
      <c r="D9" s="473" t="s">
        <v>308</v>
      </c>
      <c r="E9" s="474"/>
      <c r="F9" s="473"/>
      <c r="G9" s="473"/>
      <c r="H9" s="473"/>
      <c r="I9" s="473"/>
      <c r="J9" s="473">
        <v>8</v>
      </c>
      <c r="K9" s="475">
        <v>225</v>
      </c>
      <c r="L9" s="476">
        <f t="shared" si="3"/>
        <v>1800</v>
      </c>
      <c r="M9" s="11"/>
      <c r="N9" s="11"/>
      <c r="O9" s="107"/>
      <c r="P9" s="238"/>
      <c r="Q9" s="435"/>
      <c r="R9" s="238"/>
      <c r="S9" s="436">
        <v>1</v>
      </c>
      <c r="T9" s="234"/>
      <c r="U9" s="197"/>
      <c r="V9" s="207">
        <f t="shared" ref="V9" si="6">SUM(P9:U9)</f>
        <v>1</v>
      </c>
      <c r="W9" s="212">
        <f t="shared" si="5"/>
        <v>1800</v>
      </c>
    </row>
    <row r="10" spans="1:23" s="250" customFormat="1" x14ac:dyDescent="0.15">
      <c r="A10" s="240"/>
      <c r="B10" s="241" t="s">
        <v>534</v>
      </c>
      <c r="C10" s="242"/>
      <c r="D10" s="243"/>
      <c r="E10" s="243"/>
      <c r="F10" s="243"/>
      <c r="G10" s="243"/>
      <c r="H10" s="243"/>
      <c r="I10" s="244"/>
      <c r="J10" s="244"/>
      <c r="K10" s="245"/>
      <c r="L10" s="246"/>
      <c r="M10" s="134"/>
      <c r="N10" s="247"/>
      <c r="O10" s="107"/>
      <c r="P10" s="248"/>
      <c r="Q10" s="436"/>
      <c r="R10" s="436"/>
      <c r="S10" s="436"/>
      <c r="T10" s="215"/>
      <c r="U10" s="248"/>
      <c r="V10" s="207"/>
      <c r="W10" s="249"/>
    </row>
    <row r="11" spans="1:23" s="23" customFormat="1" x14ac:dyDescent="0.15">
      <c r="A11" s="65" t="s">
        <v>537</v>
      </c>
      <c r="B11" s="65" t="s">
        <v>538</v>
      </c>
      <c r="C11" s="66"/>
      <c r="D11" s="67"/>
      <c r="E11" s="68"/>
      <c r="F11" s="67"/>
      <c r="G11" s="67"/>
      <c r="H11" s="67"/>
      <c r="I11" s="67"/>
      <c r="J11" s="75"/>
      <c r="K11" s="28"/>
      <c r="L11" s="73"/>
      <c r="M11" s="11"/>
      <c r="N11" s="11"/>
      <c r="O11" s="107"/>
      <c r="P11" s="197"/>
      <c r="Q11" s="436"/>
      <c r="R11" s="238"/>
      <c r="S11" s="436"/>
      <c r="T11" s="234"/>
      <c r="U11" s="197"/>
      <c r="V11" s="207"/>
      <c r="W11" s="189"/>
    </row>
    <row r="12" spans="1:23" x14ac:dyDescent="0.15">
      <c r="A12" s="65"/>
      <c r="B12" s="65" t="s">
        <v>535</v>
      </c>
      <c r="C12" s="66">
        <v>1</v>
      </c>
      <c r="D12" s="67" t="s">
        <v>18</v>
      </c>
      <c r="E12" s="68"/>
      <c r="F12" s="67"/>
      <c r="G12" s="67"/>
      <c r="H12" s="67"/>
      <c r="I12" s="67"/>
      <c r="J12" s="67">
        <v>1</v>
      </c>
      <c r="K12" s="28">
        <v>1352</v>
      </c>
      <c r="L12" s="73">
        <f>SUM(J12*K12)</f>
        <v>1352</v>
      </c>
      <c r="M12" s="11"/>
      <c r="N12" s="11"/>
      <c r="O12" s="107"/>
      <c r="P12" s="197"/>
      <c r="Q12" s="436">
        <v>1</v>
      </c>
      <c r="R12" s="238"/>
      <c r="S12" s="436"/>
      <c r="T12" s="234"/>
      <c r="U12" s="197"/>
      <c r="V12" s="207">
        <f>SUM(P12:U12)</f>
        <v>1</v>
      </c>
      <c r="W12" s="212">
        <f>V12*L12</f>
        <v>1352</v>
      </c>
    </row>
    <row r="13" spans="1:23" x14ac:dyDescent="0.15">
      <c r="A13" s="65"/>
      <c r="B13" s="65" t="s">
        <v>536</v>
      </c>
      <c r="C13" s="66">
        <v>1</v>
      </c>
      <c r="D13" s="67" t="s">
        <v>18</v>
      </c>
      <c r="E13" s="68"/>
      <c r="F13" s="67"/>
      <c r="G13" s="67"/>
      <c r="H13" s="67"/>
      <c r="I13" s="67"/>
      <c r="J13" s="67">
        <v>1</v>
      </c>
      <c r="K13" s="28">
        <v>650</v>
      </c>
      <c r="L13" s="73">
        <f>SUM(J13*K13)</f>
        <v>650</v>
      </c>
      <c r="M13" s="11"/>
      <c r="N13" s="11"/>
      <c r="O13" s="107"/>
      <c r="P13" s="197"/>
      <c r="Q13" s="436">
        <v>1</v>
      </c>
      <c r="R13" s="238"/>
      <c r="S13" s="436"/>
      <c r="T13" s="234"/>
      <c r="U13" s="197"/>
      <c r="V13" s="207">
        <f>SUM(P13:U13)</f>
        <v>1</v>
      </c>
      <c r="W13" s="212">
        <f>V13*L13</f>
        <v>650</v>
      </c>
    </row>
    <row r="14" spans="1:23" s="23" customFormat="1" x14ac:dyDescent="0.15">
      <c r="A14" s="65" t="s">
        <v>539</v>
      </c>
      <c r="B14" s="65" t="s">
        <v>540</v>
      </c>
      <c r="C14" s="66"/>
      <c r="D14" s="67"/>
      <c r="E14" s="68"/>
      <c r="F14" s="67"/>
      <c r="G14" s="67"/>
      <c r="H14" s="67"/>
      <c r="I14" s="67"/>
      <c r="J14" s="75"/>
      <c r="K14" s="28"/>
      <c r="L14" s="73"/>
      <c r="M14" s="11"/>
      <c r="N14" s="11"/>
      <c r="O14" s="107"/>
      <c r="P14" s="197"/>
      <c r="Q14" s="436"/>
      <c r="R14" s="238"/>
      <c r="S14" s="436"/>
      <c r="T14" s="234"/>
      <c r="U14" s="197"/>
      <c r="V14" s="207"/>
      <c r="W14" s="189"/>
    </row>
    <row r="15" spans="1:23" x14ac:dyDescent="0.15">
      <c r="A15" s="65"/>
      <c r="B15" s="65" t="s">
        <v>541</v>
      </c>
      <c r="C15" s="66">
        <v>1</v>
      </c>
      <c r="D15" s="67" t="s">
        <v>18</v>
      </c>
      <c r="E15" s="68"/>
      <c r="F15" s="67"/>
      <c r="G15" s="67"/>
      <c r="H15" s="67"/>
      <c r="I15" s="67"/>
      <c r="J15" s="67">
        <v>1</v>
      </c>
      <c r="K15" s="28">
        <v>1600</v>
      </c>
      <c r="L15" s="73">
        <f>SUM(J15*K15)</f>
        <v>1600</v>
      </c>
      <c r="M15" s="11"/>
      <c r="N15" s="11"/>
      <c r="O15" s="107"/>
      <c r="P15" s="202"/>
      <c r="Q15" s="441"/>
      <c r="R15" s="443">
        <v>1</v>
      </c>
      <c r="S15" s="444"/>
      <c r="T15" s="235"/>
      <c r="U15" s="202"/>
      <c r="V15" s="211">
        <f>SUM(P15:U15)</f>
        <v>1</v>
      </c>
      <c r="W15" s="228">
        <f>V15*L15</f>
        <v>1600</v>
      </c>
    </row>
    <row r="16" spans="1:23" ht="14" thickBot="1" x14ac:dyDescent="0.2">
      <c r="Q16" s="114"/>
    </row>
    <row r="17" spans="12:23" ht="14" thickBot="1" x14ac:dyDescent="0.2">
      <c r="L17" s="251">
        <f>SUM(L6:L15)</f>
        <v>7427</v>
      </c>
      <c r="Q17" s="114"/>
      <c r="V17" s="229"/>
      <c r="W17" s="230">
        <f>SUM(W1:W16)</f>
        <v>7427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CDD8-098B-4472-AAD7-DFE72913684E}">
  <dimension ref="A1:U36"/>
  <sheetViews>
    <sheetView zoomScale="110" zoomScaleNormal="110" workbookViewId="0">
      <selection activeCell="M29" sqref="M29"/>
    </sheetView>
  </sheetViews>
  <sheetFormatPr baseColWidth="10" defaultColWidth="9.1640625" defaultRowHeight="15" outlineLevelCol="2" x14ac:dyDescent="0.2"/>
  <cols>
    <col min="1" max="1" width="9.1640625" style="296"/>
    <col min="2" max="2" width="102" style="297" customWidth="1"/>
    <col min="3" max="3" width="9.1640625" style="298"/>
    <col min="4" max="4" width="7.1640625" style="299" customWidth="1" outlineLevel="2"/>
    <col min="5" max="6" width="6.1640625" style="299" customWidth="1" outlineLevel="2"/>
    <col min="7" max="7" width="6" style="299" customWidth="1" outlineLevel="2"/>
    <col min="8" max="8" width="9.1640625" style="300"/>
    <col min="9" max="9" width="12.5" style="301" bestFit="1" customWidth="1"/>
    <col min="10" max="10" width="13" style="298" bestFit="1" customWidth="1"/>
    <col min="11" max="11" width="31.1640625" style="297" bestFit="1" customWidth="1"/>
    <col min="12" max="12" width="9.1640625" style="297"/>
    <col min="13" max="13" width="5.33203125" style="302" bestFit="1" customWidth="1"/>
    <col min="14" max="15" width="5.33203125" style="297" bestFit="1" customWidth="1"/>
    <col min="16" max="16" width="8.33203125" style="497" customWidth="1"/>
    <col min="17" max="17" width="6.1640625" style="379" bestFit="1" customWidth="1"/>
    <col min="18" max="18" width="5.5" style="297" bestFit="1" customWidth="1"/>
    <col min="19" max="19" width="8.1640625" style="297" bestFit="1" customWidth="1"/>
    <col min="20" max="20" width="11" style="297" bestFit="1" customWidth="1"/>
    <col min="21" max="16384" width="9.1640625" style="297"/>
  </cols>
  <sheetData>
    <row r="1" spans="1:21" ht="6.75" customHeight="1" thickBot="1" x14ac:dyDescent="0.25"/>
    <row r="2" spans="1:21" ht="29" thickBot="1" x14ac:dyDescent="0.25">
      <c r="A2" s="303" t="s">
        <v>565</v>
      </c>
      <c r="B2" s="304" t="s">
        <v>571</v>
      </c>
      <c r="C2" s="304"/>
      <c r="D2" s="305"/>
      <c r="E2" s="305"/>
      <c r="F2" s="305"/>
      <c r="G2" s="305"/>
      <c r="H2" s="306"/>
      <c r="I2" s="307"/>
      <c r="J2" s="304"/>
      <c r="K2" s="308">
        <f>SUM(J6:J27)</f>
        <v>6019.36</v>
      </c>
      <c r="M2" s="216" t="s">
        <v>511</v>
      </c>
      <c r="N2" s="453" t="s">
        <v>512</v>
      </c>
      <c r="O2" s="377" t="s">
        <v>513</v>
      </c>
      <c r="P2" s="494" t="s">
        <v>514</v>
      </c>
      <c r="Q2" s="506" t="s">
        <v>515</v>
      </c>
      <c r="R2" s="216" t="s">
        <v>516</v>
      </c>
      <c r="S2" s="216" t="s">
        <v>509</v>
      </c>
      <c r="T2" s="186" t="s">
        <v>510</v>
      </c>
    </row>
    <row r="3" spans="1:21" ht="6.75" customHeight="1" x14ac:dyDescent="0.2">
      <c r="K3" s="309"/>
      <c r="M3" s="197"/>
      <c r="N3" s="215"/>
      <c r="O3" s="234"/>
      <c r="P3" s="238"/>
      <c r="Q3" s="234"/>
      <c r="R3" s="197"/>
      <c r="S3" s="207"/>
      <c r="T3" s="189"/>
    </row>
    <row r="4" spans="1:21" x14ac:dyDescent="0.2">
      <c r="B4" s="310" t="s">
        <v>551</v>
      </c>
      <c r="C4" s="296"/>
      <c r="D4" s="302"/>
      <c r="E4" s="302"/>
      <c r="F4" s="302"/>
      <c r="G4" s="302"/>
      <c r="I4" s="311"/>
      <c r="J4" s="312"/>
      <c r="K4" s="309"/>
      <c r="M4" s="248"/>
      <c r="N4" s="215"/>
      <c r="O4" s="215"/>
      <c r="P4" s="436"/>
      <c r="Q4" s="215"/>
      <c r="R4" s="248"/>
      <c r="S4" s="207"/>
      <c r="T4" s="249"/>
    </row>
    <row r="5" spans="1:21" ht="6.75" customHeight="1" x14ac:dyDescent="0.2">
      <c r="K5" s="309"/>
      <c r="M5" s="197"/>
      <c r="N5" s="215"/>
      <c r="O5" s="234"/>
      <c r="P5" s="238"/>
      <c r="Q5" s="234"/>
      <c r="R5" s="197"/>
      <c r="S5" s="207"/>
      <c r="T5" s="189"/>
    </row>
    <row r="6" spans="1:21" x14ac:dyDescent="0.2">
      <c r="B6" s="297" t="s">
        <v>552</v>
      </c>
      <c r="C6" s="296" t="s">
        <v>20</v>
      </c>
      <c r="D6" s="302">
        <v>4.5999999999999996</v>
      </c>
      <c r="E6" s="302"/>
      <c r="F6" s="302"/>
      <c r="G6" s="302"/>
      <c r="H6" s="300">
        <f>D6</f>
        <v>4.5999999999999996</v>
      </c>
      <c r="I6" s="311">
        <v>290.82</v>
      </c>
      <c r="J6" s="312">
        <f>I6*H6</f>
        <v>1337.77</v>
      </c>
      <c r="K6" s="309"/>
      <c r="M6" s="197"/>
      <c r="N6" s="215"/>
      <c r="O6" s="234"/>
      <c r="P6" s="238">
        <v>0.05</v>
      </c>
      <c r="Q6" s="234">
        <v>0.95</v>
      </c>
      <c r="R6" s="197"/>
      <c r="S6" s="207">
        <f t="shared" ref="S6:S7" si="0">SUM(M6:R6)</f>
        <v>1</v>
      </c>
      <c r="T6" s="212">
        <f>S6*J6</f>
        <v>1337.77</v>
      </c>
    </row>
    <row r="7" spans="1:21" x14ac:dyDescent="0.2">
      <c r="B7" s="297" t="s">
        <v>553</v>
      </c>
      <c r="C7" s="296" t="s">
        <v>554</v>
      </c>
      <c r="D7" s="302">
        <v>8</v>
      </c>
      <c r="E7" s="302"/>
      <c r="F7" s="302"/>
      <c r="G7" s="302"/>
      <c r="H7" s="300">
        <f>D7</f>
        <v>8</v>
      </c>
      <c r="I7" s="311">
        <v>46.63</v>
      </c>
      <c r="J7" s="312">
        <f>I7*H7</f>
        <v>373.04</v>
      </c>
      <c r="K7" s="309" t="s">
        <v>566</v>
      </c>
      <c r="M7" s="197"/>
      <c r="N7" s="215"/>
      <c r="O7" s="234"/>
      <c r="P7" s="238">
        <v>0.05</v>
      </c>
      <c r="Q7" s="234">
        <v>0.95</v>
      </c>
      <c r="R7" s="197"/>
      <c r="S7" s="207">
        <f t="shared" si="0"/>
        <v>1</v>
      </c>
      <c r="T7" s="212">
        <f>S7*J7</f>
        <v>373.04</v>
      </c>
    </row>
    <row r="8" spans="1:21" x14ac:dyDescent="0.2">
      <c r="C8" s="296"/>
      <c r="D8" s="302"/>
      <c r="E8" s="302"/>
      <c r="F8" s="302"/>
      <c r="G8" s="302"/>
      <c r="I8" s="311"/>
      <c r="J8" s="312"/>
      <c r="K8" s="309"/>
      <c r="M8" s="248"/>
      <c r="N8" s="252"/>
      <c r="O8" s="215"/>
      <c r="P8" s="436"/>
      <c r="Q8" s="215"/>
      <c r="R8" s="248"/>
      <c r="S8" s="207"/>
      <c r="T8" s="249"/>
    </row>
    <row r="9" spans="1:21" x14ac:dyDescent="0.2">
      <c r="B9" s="310" t="s">
        <v>555</v>
      </c>
      <c r="C9" s="296"/>
      <c r="D9" s="302"/>
      <c r="E9" s="302"/>
      <c r="F9" s="302"/>
      <c r="G9" s="302"/>
      <c r="I9" s="311"/>
      <c r="J9" s="312"/>
      <c r="K9" s="309"/>
      <c r="M9" s="197"/>
      <c r="N9" s="252"/>
      <c r="O9" s="234"/>
      <c r="P9" s="238"/>
      <c r="Q9" s="234"/>
      <c r="R9" s="197"/>
      <c r="S9" s="207"/>
      <c r="T9" s="189"/>
    </row>
    <row r="10" spans="1:21" ht="6.75" customHeight="1" x14ac:dyDescent="0.2">
      <c r="K10" s="309"/>
      <c r="M10" s="197"/>
      <c r="N10" s="252"/>
      <c r="O10" s="234"/>
      <c r="P10" s="238"/>
      <c r="Q10" s="234"/>
      <c r="R10" s="197"/>
      <c r="S10" s="207"/>
      <c r="T10" s="212"/>
    </row>
    <row r="11" spans="1:21" x14ac:dyDescent="0.2">
      <c r="B11" s="297" t="s">
        <v>556</v>
      </c>
      <c r="C11" s="296" t="s">
        <v>51</v>
      </c>
      <c r="D11" s="302">
        <v>2</v>
      </c>
      <c r="E11" s="302"/>
      <c r="F11" s="302"/>
      <c r="G11" s="302"/>
      <c r="H11" s="300">
        <f>D11</f>
        <v>2</v>
      </c>
      <c r="I11" s="311">
        <v>485</v>
      </c>
      <c r="J11" s="312">
        <f>I11*H11</f>
        <v>970</v>
      </c>
      <c r="K11" s="309"/>
      <c r="M11" s="197"/>
      <c r="N11" s="252"/>
      <c r="O11" s="234"/>
      <c r="P11" s="238">
        <v>0.05</v>
      </c>
      <c r="Q11" s="442">
        <v>0.95</v>
      </c>
      <c r="R11" s="197"/>
      <c r="S11" s="207">
        <f t="shared" ref="S11" si="1">SUM(M11:R11)</f>
        <v>1</v>
      </c>
      <c r="T11" s="212">
        <f>S11*J11</f>
        <v>970</v>
      </c>
    </row>
    <row r="12" spans="1:21" x14ac:dyDescent="0.2">
      <c r="C12" s="296"/>
      <c r="D12" s="302"/>
      <c r="E12" s="302"/>
      <c r="F12" s="302"/>
      <c r="G12" s="302"/>
      <c r="I12" s="311"/>
      <c r="J12" s="312"/>
      <c r="K12" s="309"/>
      <c r="M12" s="197"/>
      <c r="N12" s="252"/>
      <c r="O12" s="234"/>
      <c r="P12" s="238"/>
      <c r="Q12" s="442"/>
      <c r="R12" s="197"/>
      <c r="S12" s="207"/>
      <c r="T12" s="189"/>
    </row>
    <row r="13" spans="1:21" x14ac:dyDescent="0.2">
      <c r="B13" s="297" t="s">
        <v>557</v>
      </c>
      <c r="C13" s="296" t="s">
        <v>375</v>
      </c>
      <c r="D13" s="302">
        <v>1</v>
      </c>
      <c r="E13" s="302"/>
      <c r="F13" s="302"/>
      <c r="G13" s="302"/>
      <c r="H13" s="300">
        <f>D13</f>
        <v>1</v>
      </c>
      <c r="I13" s="311">
        <v>1875</v>
      </c>
      <c r="J13" s="312">
        <f>I13*H13</f>
        <v>1875</v>
      </c>
      <c r="K13" s="309"/>
      <c r="M13" s="197"/>
      <c r="N13" s="252"/>
      <c r="O13" s="234"/>
      <c r="P13" s="238">
        <v>0.05</v>
      </c>
      <c r="Q13" s="442">
        <v>0.95</v>
      </c>
      <c r="R13" s="197"/>
      <c r="S13" s="207">
        <f t="shared" ref="S13" si="2">SUM(M13:R13)</f>
        <v>1</v>
      </c>
      <c r="T13" s="212">
        <f>S13*J13</f>
        <v>1875</v>
      </c>
    </row>
    <row r="14" spans="1:21" x14ac:dyDescent="0.2">
      <c r="C14" s="296"/>
      <c r="D14" s="302"/>
      <c r="E14" s="302"/>
      <c r="F14" s="302"/>
      <c r="G14" s="302"/>
      <c r="I14" s="311"/>
      <c r="J14" s="312"/>
      <c r="K14" s="309"/>
      <c r="M14" s="197"/>
      <c r="N14" s="252"/>
      <c r="O14" s="234"/>
      <c r="P14" s="238"/>
      <c r="Q14" s="442"/>
      <c r="R14" s="197"/>
      <c r="S14" s="207"/>
      <c r="T14" s="189"/>
    </row>
    <row r="15" spans="1:21" s="302" customFormat="1" x14ac:dyDescent="0.2">
      <c r="A15" s="296"/>
      <c r="B15" s="297" t="s">
        <v>558</v>
      </c>
      <c r="C15" s="296" t="s">
        <v>375</v>
      </c>
      <c r="D15" s="302">
        <v>2</v>
      </c>
      <c r="H15" s="300">
        <f>D15</f>
        <v>2</v>
      </c>
      <c r="I15" s="311">
        <v>267.5</v>
      </c>
      <c r="J15" s="312">
        <f>I15*H15</f>
        <v>535</v>
      </c>
      <c r="K15" s="309" t="s">
        <v>567</v>
      </c>
      <c r="L15" s="297"/>
      <c r="M15" s="197"/>
      <c r="N15" s="252"/>
      <c r="O15" s="234"/>
      <c r="P15" s="238">
        <v>0.05</v>
      </c>
      <c r="Q15" s="442">
        <v>0.95</v>
      </c>
      <c r="R15" s="197"/>
      <c r="S15" s="207">
        <f t="shared" ref="S15" si="3">SUM(M15:R15)</f>
        <v>1</v>
      </c>
      <c r="T15" s="212">
        <f>S15*J15</f>
        <v>535</v>
      </c>
      <c r="U15" s="297"/>
    </row>
    <row r="16" spans="1:21" s="302" customFormat="1" x14ac:dyDescent="0.2">
      <c r="A16" s="296"/>
      <c r="B16" s="297"/>
      <c r="C16" s="296"/>
      <c r="H16" s="300"/>
      <c r="I16" s="311"/>
      <c r="J16" s="312"/>
      <c r="K16" s="309"/>
      <c r="L16" s="297"/>
      <c r="M16" s="197"/>
      <c r="N16" s="252"/>
      <c r="O16" s="234"/>
      <c r="P16" s="238"/>
      <c r="Q16" s="234"/>
      <c r="R16" s="197"/>
      <c r="S16" s="207"/>
      <c r="T16" s="189"/>
      <c r="U16" s="297"/>
    </row>
    <row r="17" spans="1:21" s="302" customFormat="1" x14ac:dyDescent="0.2">
      <c r="A17" s="296"/>
      <c r="B17" s="310" t="s">
        <v>559</v>
      </c>
      <c r="C17" s="296"/>
      <c r="H17" s="300"/>
      <c r="I17" s="311"/>
      <c r="J17" s="312"/>
      <c r="K17" s="309"/>
      <c r="L17" s="297"/>
      <c r="M17" s="197"/>
      <c r="N17" s="252"/>
      <c r="O17" s="234"/>
      <c r="P17" s="238"/>
      <c r="Q17" s="234"/>
      <c r="R17" s="197"/>
      <c r="S17" s="207"/>
      <c r="T17" s="189"/>
      <c r="U17" s="297"/>
    </row>
    <row r="18" spans="1:21" s="302" customFormat="1" ht="6.75" customHeight="1" x14ac:dyDescent="0.2">
      <c r="A18" s="296"/>
      <c r="B18" s="297"/>
      <c r="C18" s="298"/>
      <c r="D18" s="299"/>
      <c r="E18" s="299"/>
      <c r="F18" s="299"/>
      <c r="G18" s="299"/>
      <c r="H18" s="300"/>
      <c r="I18" s="301"/>
      <c r="J18" s="298"/>
      <c r="K18" s="309"/>
      <c r="L18" s="297"/>
      <c r="M18" s="197"/>
      <c r="N18" s="252"/>
      <c r="O18" s="234"/>
      <c r="P18" s="238"/>
      <c r="Q18" s="234"/>
      <c r="R18" s="197"/>
      <c r="S18" s="207"/>
      <c r="T18" s="189"/>
      <c r="U18" s="297"/>
    </row>
    <row r="19" spans="1:21" s="302" customFormat="1" x14ac:dyDescent="0.2">
      <c r="A19" s="296"/>
      <c r="B19" s="477" t="s">
        <v>732</v>
      </c>
      <c r="C19" s="296" t="s">
        <v>19</v>
      </c>
      <c r="D19" s="302">
        <v>3.05</v>
      </c>
      <c r="E19" s="302">
        <v>0.14000000000000001</v>
      </c>
      <c r="F19" s="302">
        <v>2.52</v>
      </c>
      <c r="H19" s="300">
        <f>F19*E19*D19</f>
        <v>1.08</v>
      </c>
      <c r="I19" s="311">
        <v>785</v>
      </c>
      <c r="J19" s="312">
        <f>I19*H19</f>
        <v>847.8</v>
      </c>
      <c r="K19" s="309"/>
      <c r="L19" s="297"/>
      <c r="M19" s="197"/>
      <c r="N19" s="252"/>
      <c r="O19" s="234"/>
      <c r="P19" s="238">
        <v>0.2</v>
      </c>
      <c r="Q19" s="234">
        <v>0.8</v>
      </c>
      <c r="R19" s="197"/>
      <c r="S19" s="207">
        <f t="shared" ref="S19:S20" si="4">SUM(M19:R19)</f>
        <v>1</v>
      </c>
      <c r="T19" s="212">
        <f t="shared" ref="T19:T20" si="5">S19*J19</f>
        <v>847.8</v>
      </c>
      <c r="U19" s="297"/>
    </row>
    <row r="20" spans="1:21" s="302" customFormat="1" x14ac:dyDescent="0.2">
      <c r="A20" s="296"/>
      <c r="B20" s="297" t="s">
        <v>560</v>
      </c>
      <c r="C20" s="296" t="s">
        <v>9</v>
      </c>
      <c r="D20" s="302">
        <v>3.05</v>
      </c>
      <c r="E20" s="302">
        <v>1</v>
      </c>
      <c r="F20" s="302">
        <v>2.52</v>
      </c>
      <c r="H20" s="300">
        <f>F20*E20*D20</f>
        <v>7.69</v>
      </c>
      <c r="I20" s="311">
        <v>10.5</v>
      </c>
      <c r="J20" s="312">
        <f>I20*H20</f>
        <v>80.75</v>
      </c>
      <c r="K20" s="309"/>
      <c r="L20" s="297"/>
      <c r="M20" s="197"/>
      <c r="N20" s="252"/>
      <c r="O20" s="234"/>
      <c r="P20" s="238">
        <v>0.05</v>
      </c>
      <c r="Q20" s="234">
        <v>0.95</v>
      </c>
      <c r="R20" s="197"/>
      <c r="S20" s="207">
        <f t="shared" si="4"/>
        <v>1</v>
      </c>
      <c r="T20" s="212">
        <f t="shared" si="5"/>
        <v>80.75</v>
      </c>
      <c r="U20" s="297"/>
    </row>
    <row r="21" spans="1:21" s="302" customFormat="1" x14ac:dyDescent="0.2">
      <c r="A21" s="296"/>
      <c r="B21" s="297" t="s">
        <v>561</v>
      </c>
      <c r="C21" s="296" t="s">
        <v>9</v>
      </c>
      <c r="D21" s="302">
        <v>3.05</v>
      </c>
      <c r="E21" s="302">
        <v>1</v>
      </c>
      <c r="F21" s="302">
        <v>2.52</v>
      </c>
      <c r="H21" s="300">
        <f>F21*E21*D21</f>
        <v>7.69</v>
      </c>
      <c r="I21" s="311">
        <v>60.95</v>
      </c>
      <c r="J21" s="313" t="s">
        <v>309</v>
      </c>
      <c r="K21" s="297"/>
      <c r="L21" s="297"/>
      <c r="M21" s="197"/>
      <c r="N21" s="252"/>
      <c r="O21" s="234"/>
      <c r="P21" s="238"/>
      <c r="Q21" s="234"/>
      <c r="R21" s="197"/>
      <c r="S21" s="207"/>
      <c r="T21" s="212"/>
      <c r="U21" s="297"/>
    </row>
    <row r="22" spans="1:21" s="302" customFormat="1" x14ac:dyDescent="0.2">
      <c r="A22" s="296"/>
      <c r="B22" s="297"/>
      <c r="C22" s="296"/>
      <c r="H22" s="300"/>
      <c r="I22" s="311"/>
      <c r="J22" s="312"/>
      <c r="K22" s="309"/>
      <c r="L22" s="297"/>
      <c r="M22" s="197"/>
      <c r="N22" s="252"/>
      <c r="O22" s="234"/>
      <c r="P22" s="238"/>
      <c r="Q22" s="234"/>
      <c r="R22" s="197"/>
      <c r="S22" s="207"/>
      <c r="T22" s="189"/>
      <c r="U22" s="297"/>
    </row>
    <row r="23" spans="1:21" s="302" customFormat="1" x14ac:dyDescent="0.2">
      <c r="A23" s="296"/>
      <c r="B23" s="310" t="s">
        <v>562</v>
      </c>
      <c r="C23" s="296"/>
      <c r="H23" s="300"/>
      <c r="I23" s="311"/>
      <c r="J23" s="312"/>
      <c r="K23" s="309"/>
      <c r="L23" s="297"/>
      <c r="M23" s="197"/>
      <c r="N23" s="252"/>
      <c r="O23" s="234"/>
      <c r="P23" s="238"/>
      <c r="Q23" s="234"/>
      <c r="R23" s="197"/>
      <c r="S23" s="207"/>
      <c r="T23" s="189"/>
      <c r="U23" s="297"/>
    </row>
    <row r="24" spans="1:21" s="302" customFormat="1" ht="6.75" customHeight="1" x14ac:dyDescent="0.2">
      <c r="A24" s="296"/>
      <c r="B24" s="297"/>
      <c r="C24" s="298"/>
      <c r="D24" s="299"/>
      <c r="E24" s="299"/>
      <c r="F24" s="299"/>
      <c r="G24" s="299"/>
      <c r="H24" s="300"/>
      <c r="I24" s="301"/>
      <c r="J24" s="298"/>
      <c r="K24" s="309"/>
      <c r="L24" s="297"/>
      <c r="M24" s="197"/>
      <c r="N24" s="252"/>
      <c r="O24" s="234"/>
      <c r="P24" s="238"/>
      <c r="Q24" s="234"/>
      <c r="R24" s="197"/>
      <c r="S24" s="207"/>
      <c r="T24" s="189"/>
    </row>
    <row r="25" spans="1:21" s="302" customFormat="1" x14ac:dyDescent="0.2">
      <c r="A25" s="296"/>
      <c r="B25" s="297" t="s">
        <v>563</v>
      </c>
      <c r="C25" s="296" t="s">
        <v>493</v>
      </c>
      <c r="H25" s="300">
        <f>-88.3-91.38</f>
        <v>-179.68</v>
      </c>
      <c r="I25" s="311">
        <v>16.690000000000001</v>
      </c>
      <c r="J25" s="312"/>
      <c r="K25" s="309" t="s">
        <v>568</v>
      </c>
      <c r="L25" s="297"/>
      <c r="M25" s="197"/>
      <c r="N25" s="252"/>
      <c r="O25" s="234"/>
      <c r="P25" s="238"/>
      <c r="Q25" s="234"/>
      <c r="R25" s="197"/>
      <c r="S25" s="207"/>
      <c r="T25" s="212"/>
    </row>
    <row r="26" spans="1:21" s="302" customFormat="1" x14ac:dyDescent="0.2">
      <c r="A26" s="296"/>
      <c r="B26" s="297" t="s">
        <v>564</v>
      </c>
      <c r="C26" s="296" t="s">
        <v>493</v>
      </c>
      <c r="H26" s="300">
        <f>88.3+91.38</f>
        <v>179.68</v>
      </c>
      <c r="I26" s="311">
        <f>16.69+7.78</f>
        <v>24.47</v>
      </c>
      <c r="J26" s="312"/>
      <c r="K26" s="309" t="s">
        <v>568</v>
      </c>
      <c r="L26" s="297"/>
      <c r="M26" s="202"/>
      <c r="N26" s="253"/>
      <c r="O26" s="235"/>
      <c r="P26" s="443"/>
      <c r="Q26" s="235"/>
      <c r="R26" s="202"/>
      <c r="S26" s="211"/>
      <c r="T26" s="228"/>
    </row>
    <row r="27" spans="1:21" s="302" customFormat="1" ht="6.75" customHeight="1" thickBot="1" x14ac:dyDescent="0.25">
      <c r="A27" s="296"/>
      <c r="B27" s="297"/>
      <c r="C27" s="298"/>
      <c r="H27" s="300"/>
      <c r="I27" s="301"/>
      <c r="J27" s="298"/>
      <c r="K27" s="309"/>
      <c r="L27" s="297"/>
      <c r="M27"/>
      <c r="N27" s="114"/>
      <c r="O27" s="116"/>
      <c r="P27" s="114"/>
      <c r="Q27" s="116"/>
      <c r="R27"/>
      <c r="S27"/>
      <c r="T27"/>
    </row>
    <row r="28" spans="1:21" s="302" customFormat="1" ht="16" thickBot="1" x14ac:dyDescent="0.25">
      <c r="A28" s="296"/>
      <c r="B28" s="297"/>
      <c r="C28" s="298"/>
      <c r="D28" s="299"/>
      <c r="E28" s="299"/>
      <c r="F28" s="299"/>
      <c r="G28" s="586" t="s">
        <v>569</v>
      </c>
      <c r="H28" s="587"/>
      <c r="I28" s="588"/>
      <c r="J28" s="314">
        <f>SUM(J6:J27)</f>
        <v>6019.36</v>
      </c>
      <c r="K28" s="297"/>
      <c r="L28" s="297"/>
      <c r="P28" s="498"/>
      <c r="Q28" s="378"/>
      <c r="S28" s="229"/>
      <c r="T28" s="230">
        <f>SUM(T1:T27)</f>
        <v>6019.36</v>
      </c>
    </row>
    <row r="29" spans="1:21" ht="16" thickBot="1" x14ac:dyDescent="0.25">
      <c r="G29" s="589" t="s">
        <v>570</v>
      </c>
      <c r="H29" s="590"/>
      <c r="I29" s="591"/>
      <c r="J29" s="314">
        <v>0</v>
      </c>
      <c r="M29" s="297"/>
    </row>
    <row r="30" spans="1:21" ht="16" thickBot="1" x14ac:dyDescent="0.25">
      <c r="G30" s="592" t="s">
        <v>569</v>
      </c>
      <c r="H30" s="593"/>
      <c r="I30" s="594"/>
      <c r="J30" s="314">
        <f>J29+J28</f>
        <v>6019.36</v>
      </c>
      <c r="M30" s="297"/>
    </row>
    <row r="31" spans="1:21" ht="6.75" customHeight="1" x14ac:dyDescent="0.2"/>
    <row r="36" ht="6.75" customHeight="1" x14ac:dyDescent="0.2"/>
  </sheetData>
  <mergeCells count="3">
    <mergeCell ref="G28:I28"/>
    <mergeCell ref="G29:I29"/>
    <mergeCell ref="G30:I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6010F-4213-433A-8DB7-0E3EAAC51018}">
  <sheetPr>
    <tabColor rgb="FFFFFF00"/>
  </sheetPr>
  <dimension ref="A1:U150"/>
  <sheetViews>
    <sheetView topLeftCell="A44" zoomScaleNormal="100" workbookViewId="0">
      <selection activeCell="K127" sqref="K127"/>
    </sheetView>
  </sheetViews>
  <sheetFormatPr baseColWidth="10" defaultColWidth="9.1640625" defaultRowHeight="15" outlineLevelCol="2" x14ac:dyDescent="0.15"/>
  <cols>
    <col min="1" max="1" width="9.1640625" style="328"/>
    <col min="2" max="2" width="102" style="329" customWidth="1"/>
    <col min="3" max="3" width="9.1640625" style="330"/>
    <col min="4" max="4" width="7.1640625" style="331" customWidth="1" outlineLevel="2"/>
    <col min="5" max="5" width="7.1640625" style="331" bestFit="1" customWidth="1" outlineLevel="2"/>
    <col min="6" max="6" width="6.1640625" style="331" customWidth="1" outlineLevel="2"/>
    <col min="7" max="7" width="7.1640625" style="331" bestFit="1" customWidth="1" outlineLevel="2"/>
    <col min="8" max="8" width="9.1640625" style="332"/>
    <col min="9" max="9" width="12.5" style="333" bestFit="1" customWidth="1"/>
    <col min="10" max="10" width="13" style="330" bestFit="1" customWidth="1"/>
    <col min="11" max="11" width="31.1640625" style="334" bestFit="1" customWidth="1"/>
    <col min="12" max="12" width="9.1640625" style="329"/>
    <col min="13" max="13" width="5.5" style="335" bestFit="1" customWidth="1"/>
    <col min="14" max="14" width="7.5" style="329" bestFit="1" customWidth="1"/>
    <col min="15" max="15" width="7.6640625" style="374" bestFit="1" customWidth="1"/>
    <col min="16" max="16" width="8" style="374" bestFit="1" customWidth="1"/>
    <col min="17" max="17" width="6.83203125" style="507" bestFit="1" customWidth="1"/>
    <col min="18" max="18" width="6" style="329" bestFit="1" customWidth="1"/>
    <col min="19" max="19" width="8.1640625" style="329" bestFit="1" customWidth="1"/>
    <col min="20" max="20" width="12.6640625" style="329" bestFit="1" customWidth="1"/>
    <col min="21" max="16384" width="9.1640625" style="329"/>
  </cols>
  <sheetData>
    <row r="1" spans="1:20" ht="6.75" customHeight="1" thickBot="1" x14ac:dyDescent="0.2"/>
    <row r="2" spans="1:20" ht="16" thickBot="1" x14ac:dyDescent="0.2">
      <c r="A2" s="336" t="s">
        <v>565</v>
      </c>
      <c r="B2" s="337" t="s">
        <v>573</v>
      </c>
      <c r="C2" s="337"/>
      <c r="D2" s="338"/>
      <c r="E2" s="338"/>
      <c r="F2" s="338"/>
      <c r="G2" s="338"/>
      <c r="H2" s="339"/>
      <c r="I2" s="340"/>
      <c r="J2" s="337"/>
      <c r="K2" s="341">
        <f>SUM(J3:J26)</f>
        <v>-10761.96</v>
      </c>
      <c r="M2" s="342" t="s">
        <v>511</v>
      </c>
      <c r="N2" s="478" t="s">
        <v>512</v>
      </c>
      <c r="O2" s="375" t="s">
        <v>513</v>
      </c>
      <c r="P2" s="499" t="s">
        <v>514</v>
      </c>
      <c r="Q2" s="510" t="s">
        <v>515</v>
      </c>
      <c r="R2" s="342" t="s">
        <v>516</v>
      </c>
      <c r="S2" s="342" t="s">
        <v>509</v>
      </c>
      <c r="T2" s="343" t="s">
        <v>510</v>
      </c>
    </row>
    <row r="3" spans="1:20" ht="6.75" customHeight="1" x14ac:dyDescent="0.15">
      <c r="K3" s="326"/>
      <c r="M3" s="196"/>
      <c r="N3" s="438"/>
      <c r="O3" s="355"/>
      <c r="P3" s="355"/>
      <c r="Q3" s="508"/>
      <c r="R3" s="196"/>
      <c r="S3" s="207"/>
      <c r="T3" s="189"/>
    </row>
    <row r="4" spans="1:20" x14ac:dyDescent="0.15">
      <c r="A4" s="344" t="s">
        <v>77</v>
      </c>
      <c r="B4" s="345" t="s">
        <v>163</v>
      </c>
      <c r="C4" s="328"/>
      <c r="D4" s="335"/>
      <c r="E4" s="335"/>
      <c r="F4" s="335"/>
      <c r="G4" s="335"/>
      <c r="I4" s="346"/>
      <c r="J4" s="347"/>
      <c r="K4" s="326"/>
      <c r="M4" s="196"/>
      <c r="N4" s="437"/>
      <c r="O4" s="355"/>
      <c r="P4" s="355"/>
      <c r="Q4" s="496"/>
      <c r="R4" s="196"/>
      <c r="S4" s="207"/>
      <c r="T4" s="189"/>
    </row>
    <row r="5" spans="1:20" x14ac:dyDescent="0.15">
      <c r="A5" s="344"/>
      <c r="B5" s="329" t="s">
        <v>155</v>
      </c>
      <c r="C5" s="328" t="s">
        <v>20</v>
      </c>
      <c r="D5" s="335">
        <v>-1</v>
      </c>
      <c r="E5" s="335">
        <v>72</v>
      </c>
      <c r="F5" s="335">
        <v>1</v>
      </c>
      <c r="G5" s="335">
        <v>1</v>
      </c>
      <c r="H5" s="332">
        <f>SUM(D5*E5*F5*G5)</f>
        <v>-72</v>
      </c>
      <c r="I5" s="346">
        <f>+' - état 30 - Février  06  '!K202</f>
        <v>4.3499999999999996</v>
      </c>
      <c r="J5" s="347">
        <f>I5*H5</f>
        <v>-313.2</v>
      </c>
      <c r="K5" s="326"/>
      <c r="M5" s="196"/>
      <c r="N5" s="438"/>
      <c r="O5" s="355">
        <v>1</v>
      </c>
      <c r="P5" s="355"/>
      <c r="Q5" s="496"/>
      <c r="R5" s="196"/>
      <c r="S5" s="207">
        <f t="shared" ref="S5" si="0">SUM(M5:R5)</f>
        <v>1</v>
      </c>
      <c r="T5" s="212">
        <f>S5*J5</f>
        <v>-313.2</v>
      </c>
    </row>
    <row r="6" spans="1:20" ht="6.75" customHeight="1" x14ac:dyDescent="0.15">
      <c r="A6" s="344"/>
      <c r="K6" s="326"/>
      <c r="M6" s="196"/>
      <c r="N6" s="437"/>
      <c r="O6" s="355"/>
      <c r="P6" s="355"/>
      <c r="Q6" s="496"/>
      <c r="R6" s="196"/>
      <c r="S6" s="207"/>
      <c r="T6" s="212"/>
    </row>
    <row r="7" spans="1:20" x14ac:dyDescent="0.15">
      <c r="A7" s="344" t="s">
        <v>601</v>
      </c>
      <c r="B7" s="345" t="s">
        <v>585</v>
      </c>
      <c r="C7" s="328"/>
      <c r="D7" s="335"/>
      <c r="E7" s="335"/>
      <c r="F7" s="335"/>
      <c r="G7" s="335"/>
      <c r="I7" s="346"/>
      <c r="J7" s="347"/>
      <c r="K7" s="326"/>
      <c r="M7" s="196"/>
      <c r="N7" s="438"/>
      <c r="O7" s="355"/>
      <c r="P7" s="355"/>
      <c r="Q7" s="496"/>
      <c r="R7" s="196"/>
      <c r="S7" s="207"/>
      <c r="T7" s="212"/>
    </row>
    <row r="8" spans="1:20" x14ac:dyDescent="0.15">
      <c r="A8" s="344"/>
      <c r="B8" s="348" t="s">
        <v>580</v>
      </c>
      <c r="C8" s="349" t="s">
        <v>304</v>
      </c>
      <c r="D8" s="335">
        <v>-1</v>
      </c>
      <c r="E8" s="335">
        <f>+Stab!I34</f>
        <v>6.29</v>
      </c>
      <c r="F8" s="335">
        <v>1</v>
      </c>
      <c r="G8" s="335">
        <v>1</v>
      </c>
      <c r="H8" s="332">
        <f t="shared" ref="H8:H12" si="1">SUM(D8*E8*F8*G8)</f>
        <v>-6.29</v>
      </c>
      <c r="I8" s="346">
        <f>+Stab!K33</f>
        <v>313.76</v>
      </c>
      <c r="J8" s="347">
        <f t="shared" ref="J8:J12" si="2">I8*H8</f>
        <v>-1973.55</v>
      </c>
      <c r="K8" s="326"/>
      <c r="M8" s="350"/>
      <c r="N8" s="437"/>
      <c r="O8" s="355">
        <v>1</v>
      </c>
      <c r="P8" s="355"/>
      <c r="Q8" s="496"/>
      <c r="R8" s="196"/>
      <c r="S8" s="207">
        <f t="shared" ref="S8:S11" si="3">SUM(M8:R8)</f>
        <v>1</v>
      </c>
      <c r="T8" s="212">
        <f t="shared" ref="T8:T11" si="4">S8*J8</f>
        <v>-1973.55</v>
      </c>
    </row>
    <row r="9" spans="1:20" x14ac:dyDescent="0.15">
      <c r="A9" s="344"/>
      <c r="B9" s="348" t="s">
        <v>581</v>
      </c>
      <c r="C9" s="349" t="s">
        <v>297</v>
      </c>
      <c r="D9" s="335">
        <v>-1</v>
      </c>
      <c r="E9" s="335">
        <f>+Stab!I38</f>
        <v>0</v>
      </c>
      <c r="F9" s="335">
        <v>1</v>
      </c>
      <c r="G9" s="335">
        <v>1</v>
      </c>
      <c r="H9" s="332">
        <f t="shared" si="1"/>
        <v>0</v>
      </c>
      <c r="I9" s="346">
        <f>+Stab!K37</f>
        <v>59.56</v>
      </c>
      <c r="J9" s="347">
        <f t="shared" si="2"/>
        <v>0</v>
      </c>
      <c r="K9" s="326"/>
      <c r="M9" s="196"/>
      <c r="N9" s="437"/>
      <c r="O9" s="355"/>
      <c r="P9" s="355"/>
      <c r="Q9" s="496"/>
      <c r="R9" s="196"/>
      <c r="S9" s="207"/>
      <c r="T9" s="212"/>
    </row>
    <row r="10" spans="1:20" x14ac:dyDescent="0.15">
      <c r="A10" s="344"/>
      <c r="B10" s="348" t="s">
        <v>582</v>
      </c>
      <c r="C10" s="349" t="s">
        <v>305</v>
      </c>
      <c r="D10" s="335">
        <v>-1</v>
      </c>
      <c r="E10" s="335">
        <f>+Stab!I42</f>
        <v>35.5</v>
      </c>
      <c r="F10" s="335">
        <v>1</v>
      </c>
      <c r="G10" s="335">
        <v>1</v>
      </c>
      <c r="H10" s="332">
        <f t="shared" si="1"/>
        <v>-35.5</v>
      </c>
      <c r="I10" s="346">
        <f>+Stab!K41</f>
        <v>4.8499999999999996</v>
      </c>
      <c r="J10" s="347">
        <f t="shared" si="2"/>
        <v>-172.18</v>
      </c>
      <c r="K10" s="326"/>
      <c r="M10" s="196"/>
      <c r="N10" s="437"/>
      <c r="O10" s="355">
        <v>1</v>
      </c>
      <c r="P10" s="355"/>
      <c r="Q10" s="496"/>
      <c r="R10" s="196"/>
      <c r="S10" s="207">
        <f t="shared" si="3"/>
        <v>1</v>
      </c>
      <c r="T10" s="212">
        <f t="shared" si="4"/>
        <v>-172.18</v>
      </c>
    </row>
    <row r="11" spans="1:20" x14ac:dyDescent="0.15">
      <c r="A11" s="344"/>
      <c r="B11" s="348" t="s">
        <v>583</v>
      </c>
      <c r="C11" s="349" t="s">
        <v>305</v>
      </c>
      <c r="D11" s="335">
        <v>-1</v>
      </c>
      <c r="E11" s="335">
        <f>+Stab!I47</f>
        <v>297.5</v>
      </c>
      <c r="F11" s="335">
        <v>1</v>
      </c>
      <c r="G11" s="335">
        <v>1</v>
      </c>
      <c r="H11" s="332">
        <f t="shared" si="1"/>
        <v>-297.5</v>
      </c>
      <c r="I11" s="346">
        <f>+Stab!K46</f>
        <v>4.05</v>
      </c>
      <c r="J11" s="347">
        <f t="shared" si="2"/>
        <v>-1204.8800000000001</v>
      </c>
      <c r="K11" s="326"/>
      <c r="M11" s="196"/>
      <c r="N11" s="437"/>
      <c r="O11" s="355">
        <v>1</v>
      </c>
      <c r="P11" s="355"/>
      <c r="Q11" s="496"/>
      <c r="R11" s="196"/>
      <c r="S11" s="207">
        <f t="shared" si="3"/>
        <v>1</v>
      </c>
      <c r="T11" s="212">
        <f t="shared" si="4"/>
        <v>-1204.8800000000001</v>
      </c>
    </row>
    <row r="12" spans="1:20" x14ac:dyDescent="0.15">
      <c r="A12" s="344"/>
      <c r="B12" s="348" t="s">
        <v>586</v>
      </c>
      <c r="C12" s="349" t="s">
        <v>297</v>
      </c>
      <c r="D12" s="335">
        <v>-1</v>
      </c>
      <c r="E12" s="335">
        <f>+Stab!I51</f>
        <v>41.9</v>
      </c>
      <c r="F12" s="335">
        <v>1</v>
      </c>
      <c r="G12" s="335">
        <v>1</v>
      </c>
      <c r="H12" s="332">
        <f t="shared" si="1"/>
        <v>-41.9</v>
      </c>
      <c r="I12" s="346">
        <f>+Stab!K50</f>
        <v>12.36</v>
      </c>
      <c r="J12" s="347">
        <f t="shared" si="2"/>
        <v>-517.88</v>
      </c>
      <c r="K12" s="326"/>
      <c r="M12" s="196"/>
      <c r="N12" s="437"/>
      <c r="O12" s="355">
        <v>1</v>
      </c>
      <c r="P12" s="355"/>
      <c r="Q12" s="496"/>
      <c r="R12" s="196"/>
      <c r="S12" s="207">
        <f t="shared" ref="S12" si="5">SUM(M12:R12)</f>
        <v>1</v>
      </c>
      <c r="T12" s="212">
        <f t="shared" ref="T12" si="6">S12*J12</f>
        <v>-517.88</v>
      </c>
    </row>
    <row r="13" spans="1:20" ht="6.75" customHeight="1" x14ac:dyDescent="0.15">
      <c r="A13" s="344"/>
      <c r="K13" s="326"/>
      <c r="M13" s="196"/>
      <c r="N13" s="437"/>
      <c r="O13" s="355"/>
      <c r="P13" s="355"/>
      <c r="Q13" s="496"/>
      <c r="R13" s="196"/>
      <c r="S13" s="207"/>
      <c r="T13" s="212"/>
    </row>
    <row r="14" spans="1:20" x14ac:dyDescent="0.15">
      <c r="A14" s="344" t="s">
        <v>602</v>
      </c>
      <c r="B14" s="345" t="s">
        <v>429</v>
      </c>
      <c r="C14" s="328"/>
      <c r="D14" s="335"/>
      <c r="E14" s="335"/>
      <c r="F14" s="335"/>
      <c r="G14" s="335"/>
      <c r="I14" s="346"/>
      <c r="J14" s="347"/>
      <c r="K14" s="326"/>
      <c r="M14" s="196"/>
      <c r="N14" s="438"/>
      <c r="O14" s="355"/>
      <c r="P14" s="355"/>
      <c r="Q14" s="496"/>
      <c r="R14" s="196"/>
      <c r="S14" s="207"/>
      <c r="T14" s="212"/>
    </row>
    <row r="15" spans="1:20" x14ac:dyDescent="0.15">
      <c r="A15" s="344"/>
      <c r="B15" s="348" t="s">
        <v>580</v>
      </c>
      <c r="C15" s="349" t="s">
        <v>304</v>
      </c>
      <c r="D15" s="335">
        <v>-1</v>
      </c>
      <c r="E15" s="335">
        <f>+Stab!J85</f>
        <v>3.96</v>
      </c>
      <c r="F15" s="335">
        <v>1</v>
      </c>
      <c r="G15" s="335">
        <v>1</v>
      </c>
      <c r="H15" s="332">
        <f t="shared" ref="H15:H19" si="7">SUM(D15*E15*F15*G15)</f>
        <v>-3.96</v>
      </c>
      <c r="I15" s="346">
        <f>+Stab!K85</f>
        <v>313.76</v>
      </c>
      <c r="J15" s="347">
        <f t="shared" ref="J15:J20" si="8">I15*H15</f>
        <v>-1242.49</v>
      </c>
      <c r="K15" s="326"/>
      <c r="M15" s="350"/>
      <c r="N15" s="437"/>
      <c r="O15" s="355">
        <v>1</v>
      </c>
      <c r="P15" s="355"/>
      <c r="Q15" s="496"/>
      <c r="R15" s="196"/>
      <c r="S15" s="207">
        <f t="shared" ref="S15:S19" si="9">SUM(M15:R15)</f>
        <v>1</v>
      </c>
      <c r="T15" s="212">
        <f t="shared" ref="T15:T19" si="10">S15*J15</f>
        <v>-1242.49</v>
      </c>
    </row>
    <row r="16" spans="1:20" x14ac:dyDescent="0.15">
      <c r="A16" s="344"/>
      <c r="B16" s="348" t="s">
        <v>581</v>
      </c>
      <c r="C16" s="349" t="s">
        <v>297</v>
      </c>
      <c r="D16" s="335">
        <v>-1</v>
      </c>
      <c r="E16" s="335">
        <f>+Stab!J87</f>
        <v>0</v>
      </c>
      <c r="F16" s="335">
        <v>1</v>
      </c>
      <c r="G16" s="335">
        <v>1</v>
      </c>
      <c r="H16" s="332">
        <f t="shared" si="7"/>
        <v>0</v>
      </c>
      <c r="I16" s="346">
        <f>+Stab!K87</f>
        <v>59.56</v>
      </c>
      <c r="J16" s="347">
        <f t="shared" si="8"/>
        <v>0</v>
      </c>
      <c r="K16" s="326"/>
      <c r="M16" s="196"/>
      <c r="N16" s="437"/>
      <c r="O16" s="355"/>
      <c r="P16" s="355"/>
      <c r="Q16" s="496"/>
      <c r="R16" s="196"/>
      <c r="S16" s="207"/>
      <c r="T16" s="212"/>
    </row>
    <row r="17" spans="1:20" x14ac:dyDescent="0.15">
      <c r="A17" s="344"/>
      <c r="B17" s="348" t="s">
        <v>582</v>
      </c>
      <c r="C17" s="349" t="s">
        <v>305</v>
      </c>
      <c r="D17" s="335">
        <v>-1</v>
      </c>
      <c r="E17" s="335">
        <f>+Stab!J89</f>
        <v>24.9</v>
      </c>
      <c r="F17" s="335">
        <v>1</v>
      </c>
      <c r="G17" s="335">
        <v>1</v>
      </c>
      <c r="H17" s="332">
        <f t="shared" si="7"/>
        <v>-24.9</v>
      </c>
      <c r="I17" s="346">
        <f>+Stab!K89</f>
        <v>4.8499999999999996</v>
      </c>
      <c r="J17" s="347">
        <f t="shared" si="8"/>
        <v>-120.77</v>
      </c>
      <c r="K17" s="326"/>
      <c r="M17" s="196"/>
      <c r="N17" s="437"/>
      <c r="O17" s="355">
        <v>1</v>
      </c>
      <c r="P17" s="355"/>
      <c r="Q17" s="496"/>
      <c r="R17" s="196"/>
      <c r="S17" s="207">
        <f t="shared" si="9"/>
        <v>1</v>
      </c>
      <c r="T17" s="212">
        <f t="shared" si="10"/>
        <v>-120.77</v>
      </c>
    </row>
    <row r="18" spans="1:20" x14ac:dyDescent="0.15">
      <c r="A18" s="344"/>
      <c r="B18" s="348" t="s">
        <v>583</v>
      </c>
      <c r="C18" s="349" t="s">
        <v>305</v>
      </c>
      <c r="D18" s="335">
        <v>-1</v>
      </c>
      <c r="E18" s="335">
        <f>+Stab!J91</f>
        <v>297.5</v>
      </c>
      <c r="F18" s="335">
        <v>1</v>
      </c>
      <c r="G18" s="335">
        <v>1</v>
      </c>
      <c r="H18" s="332">
        <f t="shared" si="7"/>
        <v>-297.5</v>
      </c>
      <c r="I18" s="346">
        <f>+Stab!K91</f>
        <v>4.05</v>
      </c>
      <c r="J18" s="347">
        <f t="shared" si="8"/>
        <v>-1204.8800000000001</v>
      </c>
      <c r="K18" s="326"/>
      <c r="M18" s="196"/>
      <c r="N18" s="437"/>
      <c r="O18" s="355">
        <v>1</v>
      </c>
      <c r="P18" s="355"/>
      <c r="Q18" s="496"/>
      <c r="R18" s="196"/>
      <c r="S18" s="207">
        <f t="shared" si="9"/>
        <v>1</v>
      </c>
      <c r="T18" s="212">
        <f t="shared" si="10"/>
        <v>-1204.8800000000001</v>
      </c>
    </row>
    <row r="19" spans="1:20" x14ac:dyDescent="0.15">
      <c r="A19" s="344"/>
      <c r="B19" s="348" t="s">
        <v>586</v>
      </c>
      <c r="C19" s="349" t="s">
        <v>297</v>
      </c>
      <c r="D19" s="335">
        <v>-1</v>
      </c>
      <c r="E19" s="335">
        <f>+Stab!J93</f>
        <v>26.4</v>
      </c>
      <c r="F19" s="335">
        <v>1</v>
      </c>
      <c r="G19" s="335">
        <v>1</v>
      </c>
      <c r="H19" s="332">
        <f t="shared" si="7"/>
        <v>-26.4</v>
      </c>
      <c r="I19" s="346">
        <f>+Stab!K93</f>
        <v>12.36</v>
      </c>
      <c r="J19" s="347">
        <f t="shared" si="8"/>
        <v>-326.3</v>
      </c>
      <c r="K19" s="326"/>
      <c r="M19" s="196"/>
      <c r="N19" s="437"/>
      <c r="O19" s="355">
        <v>1</v>
      </c>
      <c r="P19" s="355"/>
      <c r="Q19" s="496"/>
      <c r="R19" s="196"/>
      <c r="S19" s="207">
        <f t="shared" si="9"/>
        <v>1</v>
      </c>
      <c r="T19" s="212">
        <f t="shared" si="10"/>
        <v>-326.3</v>
      </c>
    </row>
    <row r="20" spans="1:20" x14ac:dyDescent="0.15">
      <c r="A20" s="344"/>
      <c r="B20" s="348" t="s">
        <v>448</v>
      </c>
      <c r="C20" s="349" t="s">
        <v>308</v>
      </c>
      <c r="D20" s="335">
        <v>-1</v>
      </c>
      <c r="E20" s="335">
        <f>+Stab!J95</f>
        <v>14</v>
      </c>
      <c r="F20" s="335">
        <v>1</v>
      </c>
      <c r="G20" s="335">
        <v>1</v>
      </c>
      <c r="H20" s="332">
        <f t="shared" ref="H20" si="11">SUM(D20*E20*F20*G20)</f>
        <v>-14</v>
      </c>
      <c r="I20" s="346">
        <f>+Stab!K95</f>
        <v>75</v>
      </c>
      <c r="J20" s="347">
        <f t="shared" si="8"/>
        <v>-1050</v>
      </c>
      <c r="K20" s="326"/>
      <c r="M20" s="196"/>
      <c r="N20" s="437"/>
      <c r="O20" s="355">
        <v>1</v>
      </c>
      <c r="P20" s="355"/>
      <c r="Q20" s="496"/>
      <c r="R20" s="196"/>
      <c r="S20" s="207">
        <f t="shared" ref="S20" si="12">SUM(M20:R20)</f>
        <v>1</v>
      </c>
      <c r="T20" s="212">
        <f t="shared" ref="T20" si="13">S20*J20</f>
        <v>-1050</v>
      </c>
    </row>
    <row r="21" spans="1:20" ht="6.75" customHeight="1" x14ac:dyDescent="0.15">
      <c r="K21" s="326"/>
      <c r="M21" s="196"/>
      <c r="N21" s="437"/>
      <c r="O21" s="355"/>
      <c r="P21" s="355"/>
      <c r="Q21" s="496"/>
      <c r="R21" s="196"/>
      <c r="S21" s="207"/>
      <c r="T21" s="212"/>
    </row>
    <row r="22" spans="1:20" x14ac:dyDescent="0.15">
      <c r="A22" s="344" t="s">
        <v>603</v>
      </c>
      <c r="B22" s="345" t="s">
        <v>670</v>
      </c>
      <c r="C22" s="328"/>
      <c r="D22" s="335"/>
      <c r="E22" s="335"/>
      <c r="F22" s="335"/>
      <c r="G22" s="335"/>
      <c r="I22" s="346"/>
      <c r="J22" s="347"/>
      <c r="K22" s="326"/>
      <c r="M22" s="196"/>
      <c r="N22" s="438"/>
      <c r="O22" s="355"/>
      <c r="P22" s="355"/>
      <c r="Q22" s="496"/>
      <c r="R22" s="196"/>
      <c r="S22" s="207"/>
      <c r="T22" s="212"/>
    </row>
    <row r="23" spans="1:20" ht="16" x14ac:dyDescent="0.15">
      <c r="A23" s="329"/>
      <c r="B23" s="351" t="s">
        <v>348</v>
      </c>
      <c r="C23" s="352" t="s">
        <v>305</v>
      </c>
      <c r="D23" s="335">
        <v>-1.1499999999999999</v>
      </c>
      <c r="E23" s="335"/>
      <c r="F23" s="335"/>
      <c r="G23" s="335">
        <f>478.2+32.8</f>
        <v>511</v>
      </c>
      <c r="H23" s="332">
        <f>SUM(D23*G23)</f>
        <v>-587.65</v>
      </c>
      <c r="I23" s="346">
        <f>+Stab!K156</f>
        <v>5.8</v>
      </c>
      <c r="J23" s="347">
        <f t="shared" ref="J23:J25" si="14">I23*H23</f>
        <v>-3408.37</v>
      </c>
      <c r="K23" s="326" t="s">
        <v>671</v>
      </c>
      <c r="M23" s="196"/>
      <c r="N23" s="437"/>
      <c r="O23" s="355">
        <v>1</v>
      </c>
      <c r="P23" s="355"/>
      <c r="Q23" s="496"/>
      <c r="R23" s="196"/>
      <c r="S23" s="207">
        <f t="shared" ref="S23:S25" si="15">SUM(M23:R23)</f>
        <v>1</v>
      </c>
      <c r="T23" s="212">
        <f t="shared" ref="T23:T25" si="16">S23*J23</f>
        <v>-3408.37</v>
      </c>
    </row>
    <row r="24" spans="1:20" ht="32" x14ac:dyDescent="0.15">
      <c r="A24" s="329"/>
      <c r="B24" s="351" t="s">
        <v>672</v>
      </c>
      <c r="C24" s="352" t="s">
        <v>305</v>
      </c>
      <c r="D24" s="335">
        <v>1.1499999999999999</v>
      </c>
      <c r="E24" s="335">
        <v>0.3</v>
      </c>
      <c r="F24" s="335"/>
      <c r="G24" s="335">
        <f>478.2+32.8</f>
        <v>511</v>
      </c>
      <c r="H24" s="332">
        <f>SUM(D24*G24*E24)</f>
        <v>176.3</v>
      </c>
      <c r="I24" s="346">
        <f>+Stab!K156</f>
        <v>5.8</v>
      </c>
      <c r="J24" s="347">
        <f t="shared" ref="J24" si="17">I24*H24</f>
        <v>1022.54</v>
      </c>
      <c r="K24" s="326" t="s">
        <v>673</v>
      </c>
      <c r="M24" s="196"/>
      <c r="N24" s="437"/>
      <c r="O24" s="355">
        <v>1</v>
      </c>
      <c r="P24" s="355"/>
      <c r="Q24" s="496"/>
      <c r="R24" s="196"/>
      <c r="S24" s="207">
        <f t="shared" ref="S24" si="18">SUM(M24:R24)</f>
        <v>1</v>
      </c>
      <c r="T24" s="212">
        <f t="shared" ref="T24" si="19">S24*J24</f>
        <v>1022.54</v>
      </c>
    </row>
    <row r="25" spans="1:20" x14ac:dyDescent="0.15">
      <c r="A25" s="344"/>
      <c r="B25" s="348" t="s">
        <v>355</v>
      </c>
      <c r="C25" s="352" t="s">
        <v>308</v>
      </c>
      <c r="D25" s="335">
        <v>-2</v>
      </c>
      <c r="E25" s="335">
        <v>0.5</v>
      </c>
      <c r="F25" s="335">
        <v>0.38</v>
      </c>
      <c r="G25" s="335">
        <v>0.19</v>
      </c>
      <c r="H25" s="332">
        <f t="shared" ref="H25" si="20">+D25</f>
        <v>-2</v>
      </c>
      <c r="I25" s="346">
        <f>+Stab!K168</f>
        <v>125</v>
      </c>
      <c r="J25" s="347">
        <f t="shared" si="14"/>
        <v>-250</v>
      </c>
      <c r="K25" s="326"/>
      <c r="M25" s="196"/>
      <c r="N25" s="437"/>
      <c r="O25" s="355">
        <v>1</v>
      </c>
      <c r="P25" s="355"/>
      <c r="Q25" s="496"/>
      <c r="R25" s="196"/>
      <c r="S25" s="207">
        <f t="shared" si="15"/>
        <v>1</v>
      </c>
      <c r="T25" s="212">
        <f t="shared" si="16"/>
        <v>-250</v>
      </c>
    </row>
    <row r="26" spans="1:20" ht="6.75" customHeight="1" x14ac:dyDescent="0.15">
      <c r="K26" s="326"/>
      <c r="M26" s="196"/>
      <c r="N26" s="438"/>
      <c r="O26" s="355"/>
      <c r="P26" s="355"/>
      <c r="Q26" s="496"/>
      <c r="R26" s="196"/>
      <c r="S26" s="207"/>
      <c r="T26" s="189"/>
    </row>
    <row r="27" spans="1:20" x14ac:dyDescent="0.15">
      <c r="A27" s="336" t="s">
        <v>575</v>
      </c>
      <c r="B27" s="337" t="s">
        <v>574</v>
      </c>
      <c r="C27" s="337"/>
      <c r="D27" s="338"/>
      <c r="E27" s="338"/>
      <c r="F27" s="338"/>
      <c r="G27" s="338"/>
      <c r="H27" s="339"/>
      <c r="I27" s="340"/>
      <c r="J27" s="337"/>
      <c r="K27" s="341">
        <f>SUM(J28:J45)</f>
        <v>4600.1499999999996</v>
      </c>
      <c r="M27" s="350"/>
      <c r="N27" s="438"/>
      <c r="O27" s="437"/>
      <c r="P27" s="437"/>
      <c r="Q27" s="489"/>
      <c r="R27" s="350"/>
      <c r="S27" s="207"/>
      <c r="T27" s="249"/>
    </row>
    <row r="28" spans="1:20" ht="6.75" customHeight="1" x14ac:dyDescent="0.15">
      <c r="K28" s="326"/>
      <c r="M28" s="196"/>
      <c r="N28" s="438"/>
      <c r="O28" s="355"/>
      <c r="P28" s="355"/>
      <c r="Q28" s="496"/>
      <c r="R28" s="196"/>
      <c r="S28" s="207"/>
      <c r="T28" s="189"/>
    </row>
    <row r="29" spans="1:20" x14ac:dyDescent="0.15">
      <c r="A29" s="344" t="s">
        <v>602</v>
      </c>
      <c r="B29" s="345" t="s">
        <v>328</v>
      </c>
      <c r="C29" s="328"/>
      <c r="D29" s="335"/>
      <c r="E29" s="335"/>
      <c r="F29" s="335"/>
      <c r="G29" s="335"/>
      <c r="I29" s="346"/>
      <c r="J29" s="347"/>
      <c r="K29" s="326"/>
      <c r="M29" s="196"/>
      <c r="N29" s="438"/>
      <c r="O29" s="355"/>
      <c r="P29" s="355"/>
      <c r="Q29" s="496"/>
      <c r="R29" s="196"/>
      <c r="S29" s="207"/>
      <c r="T29" s="212"/>
    </row>
    <row r="30" spans="1:20" x14ac:dyDescent="0.15">
      <c r="A30" s="344"/>
      <c r="B30" s="353" t="s">
        <v>432</v>
      </c>
      <c r="C30" s="352" t="s">
        <v>305</v>
      </c>
      <c r="D30" s="335">
        <v>1.1499999999999999</v>
      </c>
      <c r="E30" s="335"/>
      <c r="F30" s="335"/>
      <c r="G30" s="335">
        <v>61.8</v>
      </c>
      <c r="H30" s="332">
        <f>SUM(D30*G30)</f>
        <v>71.069999999999993</v>
      </c>
      <c r="I30" s="346">
        <f>+Stab!K96</f>
        <v>5.8</v>
      </c>
      <c r="J30" s="309" t="s">
        <v>620</v>
      </c>
      <c r="K30" s="326"/>
      <c r="M30" s="196"/>
      <c r="N30" s="437"/>
      <c r="O30" s="355"/>
      <c r="P30" s="355"/>
      <c r="Q30" s="496"/>
      <c r="R30" s="196"/>
      <c r="S30" s="207"/>
      <c r="T30" s="212"/>
    </row>
    <row r="31" spans="1:20" ht="6.75" customHeight="1" x14ac:dyDescent="0.15">
      <c r="K31" s="326"/>
      <c r="M31" s="196"/>
      <c r="N31" s="437"/>
      <c r="O31" s="355"/>
      <c r="P31" s="355"/>
      <c r="Q31" s="496"/>
      <c r="R31" s="196"/>
      <c r="S31" s="207"/>
      <c r="T31" s="212"/>
    </row>
    <row r="32" spans="1:20" x14ac:dyDescent="0.15">
      <c r="A32" s="344" t="s">
        <v>602</v>
      </c>
      <c r="B32" s="345" t="s">
        <v>335</v>
      </c>
      <c r="C32" s="328"/>
      <c r="D32" s="335"/>
      <c r="E32" s="335"/>
      <c r="F32" s="335"/>
      <c r="G32" s="335"/>
      <c r="I32" s="346"/>
      <c r="J32" s="347"/>
      <c r="K32" s="326"/>
      <c r="M32" s="196"/>
      <c r="N32" s="438"/>
      <c r="O32" s="355"/>
      <c r="P32" s="355"/>
      <c r="Q32" s="496"/>
      <c r="R32" s="196"/>
      <c r="S32" s="207"/>
      <c r="T32" s="212"/>
    </row>
    <row r="33" spans="1:21" x14ac:dyDescent="0.15">
      <c r="A33" s="344"/>
      <c r="B33" s="354" t="s">
        <v>436</v>
      </c>
      <c r="C33" s="352" t="s">
        <v>308</v>
      </c>
      <c r="D33" s="335">
        <v>2</v>
      </c>
      <c r="E33" s="335"/>
      <c r="F33" s="335"/>
      <c r="G33" s="335"/>
      <c r="H33" s="332">
        <f t="shared" ref="H33" si="21">+D33</f>
        <v>2</v>
      </c>
      <c r="I33" s="346">
        <f>+Stab!K108</f>
        <v>125</v>
      </c>
      <c r="J33" s="309" t="s">
        <v>620</v>
      </c>
      <c r="K33" s="326"/>
      <c r="M33" s="196"/>
      <c r="N33" s="437"/>
      <c r="O33" s="355"/>
      <c r="P33" s="355"/>
      <c r="Q33" s="496"/>
      <c r="R33" s="196"/>
      <c r="S33" s="207"/>
      <c r="T33" s="212"/>
    </row>
    <row r="34" spans="1:21" ht="6.75" customHeight="1" x14ac:dyDescent="0.15">
      <c r="K34" s="326"/>
      <c r="M34" s="196"/>
      <c r="N34" s="438"/>
      <c r="O34" s="355"/>
      <c r="P34" s="355"/>
      <c r="Q34" s="496"/>
      <c r="R34" s="196"/>
      <c r="S34" s="207"/>
      <c r="T34" s="189"/>
    </row>
    <row r="35" spans="1:21" x14ac:dyDescent="0.15">
      <c r="A35" s="344" t="s">
        <v>603</v>
      </c>
      <c r="B35" s="345" t="s">
        <v>335</v>
      </c>
      <c r="C35" s="328"/>
      <c r="D35" s="335"/>
      <c r="E35" s="335"/>
      <c r="F35" s="335"/>
      <c r="G35" s="335"/>
      <c r="I35" s="346"/>
      <c r="J35" s="347"/>
      <c r="K35" s="326"/>
      <c r="M35" s="196"/>
      <c r="N35" s="438"/>
      <c r="O35" s="355"/>
      <c r="P35" s="355"/>
      <c r="Q35" s="496"/>
      <c r="R35" s="196"/>
      <c r="S35" s="207"/>
      <c r="T35" s="212"/>
    </row>
    <row r="36" spans="1:21" x14ac:dyDescent="0.15">
      <c r="B36" s="353" t="s">
        <v>608</v>
      </c>
      <c r="C36" s="352" t="s">
        <v>308</v>
      </c>
      <c r="D36" s="335"/>
      <c r="E36" s="335"/>
      <c r="F36" s="335"/>
      <c r="G36" s="335"/>
      <c r="H36" s="332">
        <v>2</v>
      </c>
      <c r="I36" s="346">
        <f>+Stab!K168</f>
        <v>125</v>
      </c>
      <c r="J36" s="347">
        <f t="shared" ref="J36" si="22">I36*H36</f>
        <v>250</v>
      </c>
      <c r="K36" s="326"/>
      <c r="M36" s="196"/>
      <c r="N36" s="437"/>
      <c r="O36" s="355">
        <v>0.05</v>
      </c>
      <c r="P36" s="355">
        <v>0.95</v>
      </c>
      <c r="Q36" s="496"/>
      <c r="R36" s="196"/>
      <c r="S36" s="207">
        <f t="shared" ref="S36" si="23">SUM(M36:R36)</f>
        <v>1</v>
      </c>
      <c r="T36" s="212">
        <f t="shared" ref="T36" si="24">S36*J36</f>
        <v>250</v>
      </c>
    </row>
    <row r="37" spans="1:21" ht="6.75" customHeight="1" x14ac:dyDescent="0.15">
      <c r="K37" s="326"/>
      <c r="M37" s="196"/>
      <c r="N37" s="437"/>
      <c r="O37" s="355"/>
      <c r="P37" s="355"/>
      <c r="Q37" s="496"/>
      <c r="R37" s="196"/>
      <c r="S37" s="207"/>
      <c r="T37" s="212"/>
    </row>
    <row r="38" spans="1:21" x14ac:dyDescent="0.15">
      <c r="A38" s="344" t="s">
        <v>11</v>
      </c>
      <c r="B38" s="345" t="s">
        <v>164</v>
      </c>
      <c r="C38" s="328"/>
      <c r="D38" s="335"/>
      <c r="E38" s="335"/>
      <c r="F38" s="335"/>
      <c r="G38" s="335"/>
      <c r="I38" s="346"/>
      <c r="J38" s="347"/>
      <c r="K38" s="326"/>
      <c r="M38" s="196"/>
      <c r="N38" s="438"/>
      <c r="O38" s="355"/>
      <c r="P38" s="355"/>
      <c r="Q38" s="496"/>
      <c r="R38" s="196"/>
      <c r="S38" s="207"/>
      <c r="T38" s="212"/>
    </row>
    <row r="39" spans="1:21" ht="48" x14ac:dyDescent="0.15">
      <c r="A39" s="344" t="s">
        <v>224</v>
      </c>
      <c r="B39" s="348" t="s">
        <v>621</v>
      </c>
      <c r="C39" s="352" t="s">
        <v>308</v>
      </c>
      <c r="D39" s="335"/>
      <c r="E39" s="335"/>
      <c r="F39" s="335"/>
      <c r="G39" s="335"/>
      <c r="H39" s="332">
        <v>0.5</v>
      </c>
      <c r="I39" s="346">
        <v>4566.32</v>
      </c>
      <c r="J39" s="347">
        <f t="shared" ref="J39" si="25">I39*H39</f>
        <v>2283.16</v>
      </c>
      <c r="K39" s="326" t="s">
        <v>674</v>
      </c>
      <c r="M39" s="196"/>
      <c r="N39" s="437"/>
      <c r="O39" s="355">
        <v>1</v>
      </c>
      <c r="P39" s="355"/>
      <c r="Q39" s="479"/>
      <c r="R39" s="355"/>
      <c r="S39" s="207">
        <f t="shared" ref="S39" si="26">SUM(M39:R39)</f>
        <v>1</v>
      </c>
      <c r="T39" s="212">
        <f t="shared" ref="T39" si="27">S39*J39</f>
        <v>2283.16</v>
      </c>
    </row>
    <row r="40" spans="1:21" x14ac:dyDescent="0.15">
      <c r="A40" s="344" t="s">
        <v>603</v>
      </c>
      <c r="B40" s="353" t="s">
        <v>607</v>
      </c>
      <c r="C40" s="352" t="s">
        <v>305</v>
      </c>
      <c r="D40" s="335">
        <v>1.1499999999999999</v>
      </c>
      <c r="E40" s="335"/>
      <c r="F40" s="335"/>
      <c r="G40" s="335">
        <f>4.5*43.06</f>
        <v>193.77</v>
      </c>
      <c r="H40" s="332">
        <f>SUM(D40*G40)</f>
        <v>222.84</v>
      </c>
      <c r="I40" s="346">
        <f>+Stab!K156</f>
        <v>5.8</v>
      </c>
      <c r="J40" s="347">
        <f t="shared" ref="J40" si="28">I40*H40</f>
        <v>1292.47</v>
      </c>
      <c r="K40" s="326"/>
      <c r="M40" s="350"/>
      <c r="N40" s="437"/>
      <c r="O40" s="355">
        <v>0.05</v>
      </c>
      <c r="P40" s="355">
        <v>0.95</v>
      </c>
      <c r="Q40" s="496"/>
      <c r="R40" s="196"/>
      <c r="S40" s="207">
        <f t="shared" ref="S40" si="29">SUM(M40:R40)</f>
        <v>1</v>
      </c>
      <c r="T40" s="212">
        <f t="shared" ref="T40" si="30">S40*J40</f>
        <v>1292.47</v>
      </c>
    </row>
    <row r="41" spans="1:21" s="335" customFormat="1" ht="6.75" customHeight="1" x14ac:dyDescent="0.15">
      <c r="A41" s="328"/>
      <c r="B41" s="329"/>
      <c r="C41" s="330"/>
      <c r="D41" s="331"/>
      <c r="E41" s="331"/>
      <c r="F41" s="331"/>
      <c r="G41" s="331"/>
      <c r="H41" s="332"/>
      <c r="I41" s="333"/>
      <c r="J41" s="330"/>
      <c r="K41" s="326"/>
      <c r="L41" s="329"/>
      <c r="M41" s="196"/>
      <c r="N41" s="437"/>
      <c r="O41" s="355"/>
      <c r="P41" s="355"/>
      <c r="Q41" s="496"/>
      <c r="R41" s="196"/>
      <c r="S41" s="207"/>
      <c r="T41" s="189"/>
      <c r="U41" s="329"/>
    </row>
    <row r="42" spans="1:21" x14ac:dyDescent="0.15">
      <c r="A42" s="344" t="s">
        <v>645</v>
      </c>
      <c r="B42" s="345" t="s">
        <v>646</v>
      </c>
      <c r="C42" s="328"/>
      <c r="D42" s="335"/>
      <c r="E42" s="335"/>
      <c r="F42" s="335"/>
      <c r="G42" s="335"/>
      <c r="I42" s="346"/>
      <c r="J42" s="347"/>
      <c r="K42" s="326"/>
      <c r="M42" s="196"/>
      <c r="N42" s="438"/>
      <c r="O42" s="355"/>
      <c r="P42" s="355"/>
      <c r="Q42" s="496"/>
      <c r="R42" s="196"/>
      <c r="S42" s="207"/>
      <c r="T42" s="212"/>
    </row>
    <row r="43" spans="1:21" x14ac:dyDescent="0.15">
      <c r="A43" s="344"/>
      <c r="B43" s="348" t="s">
        <v>647</v>
      </c>
      <c r="C43" s="352" t="s">
        <v>493</v>
      </c>
      <c r="D43" s="335">
        <v>1</v>
      </c>
      <c r="E43" s="335">
        <v>3.35</v>
      </c>
      <c r="F43" s="335">
        <v>1</v>
      </c>
      <c r="G43" s="335">
        <v>1</v>
      </c>
      <c r="H43" s="332">
        <f>+D43*E43*F43*G43</f>
        <v>3.35</v>
      </c>
      <c r="I43" s="346">
        <v>46.63</v>
      </c>
      <c r="J43" s="347">
        <f t="shared" ref="J43:J44" si="31">I43*H43</f>
        <v>156.21</v>
      </c>
      <c r="K43" s="326"/>
      <c r="M43" s="196"/>
      <c r="N43" s="437"/>
      <c r="O43" s="355">
        <v>1</v>
      </c>
      <c r="P43" s="355"/>
      <c r="Q43" s="496"/>
      <c r="R43" s="196"/>
      <c r="S43" s="207">
        <f t="shared" ref="S43:S44" si="32">SUM(M43:R43)</f>
        <v>1</v>
      </c>
      <c r="T43" s="212">
        <f t="shared" ref="T43:T44" si="33">S43*J43</f>
        <v>156.21</v>
      </c>
    </row>
    <row r="44" spans="1:21" x14ac:dyDescent="0.15">
      <c r="A44" s="344"/>
      <c r="B44" s="348" t="s">
        <v>648</v>
      </c>
      <c r="C44" s="352" t="s">
        <v>493</v>
      </c>
      <c r="D44" s="335">
        <v>1</v>
      </c>
      <c r="E44" s="335">
        <v>13.26</v>
      </c>
      <c r="F44" s="335">
        <v>1</v>
      </c>
      <c r="G44" s="335">
        <v>1</v>
      </c>
      <c r="H44" s="332">
        <f>+D44*E44*F44*G44</f>
        <v>13.26</v>
      </c>
      <c r="I44" s="346">
        <v>46.63</v>
      </c>
      <c r="J44" s="347">
        <f t="shared" si="31"/>
        <v>618.30999999999995</v>
      </c>
      <c r="K44" s="326"/>
      <c r="M44" s="196"/>
      <c r="N44" s="437"/>
      <c r="O44" s="355">
        <v>1</v>
      </c>
      <c r="P44" s="355"/>
      <c r="Q44" s="496"/>
      <c r="R44" s="196"/>
      <c r="S44" s="207">
        <f t="shared" si="32"/>
        <v>1</v>
      </c>
      <c r="T44" s="212">
        <f t="shared" si="33"/>
        <v>618.30999999999995</v>
      </c>
    </row>
    <row r="45" spans="1:21" ht="6.75" customHeight="1" x14ac:dyDescent="0.15">
      <c r="K45" s="326"/>
      <c r="M45" s="196"/>
      <c r="N45" s="438"/>
      <c r="O45" s="355"/>
      <c r="P45" s="355"/>
      <c r="Q45" s="496"/>
      <c r="R45" s="196"/>
      <c r="S45" s="207"/>
      <c r="T45" s="189"/>
    </row>
    <row r="46" spans="1:21" x14ac:dyDescent="0.15">
      <c r="A46" s="336" t="s">
        <v>576</v>
      </c>
      <c r="B46" s="337" t="s">
        <v>596</v>
      </c>
      <c r="C46" s="337"/>
      <c r="D46" s="338"/>
      <c r="E46" s="338"/>
      <c r="F46" s="338"/>
      <c r="G46" s="338"/>
      <c r="H46" s="339"/>
      <c r="I46" s="340"/>
      <c r="J46" s="337"/>
      <c r="K46" s="341">
        <f>SUM(J47:J63)</f>
        <v>-7583.64</v>
      </c>
      <c r="M46" s="350"/>
      <c r="N46" s="438"/>
      <c r="O46" s="437"/>
      <c r="P46" s="437"/>
      <c r="Q46" s="489"/>
      <c r="R46" s="350"/>
      <c r="S46" s="207"/>
      <c r="T46" s="249"/>
    </row>
    <row r="47" spans="1:21" ht="6.75" customHeight="1" x14ac:dyDescent="0.15">
      <c r="K47" s="326"/>
      <c r="M47" s="196"/>
      <c r="N47" s="438"/>
      <c r="O47" s="355"/>
      <c r="P47" s="355"/>
      <c r="Q47" s="496"/>
      <c r="R47" s="196"/>
      <c r="S47" s="207"/>
      <c r="T47" s="189"/>
    </row>
    <row r="48" spans="1:21" x14ac:dyDescent="0.15">
      <c r="A48" s="344" t="s">
        <v>602</v>
      </c>
      <c r="B48" s="345" t="s">
        <v>328</v>
      </c>
      <c r="C48" s="328"/>
      <c r="D48" s="335"/>
      <c r="E48" s="335"/>
      <c r="F48" s="335"/>
      <c r="G48" s="335"/>
      <c r="I48" s="346"/>
      <c r="J48" s="347"/>
      <c r="K48" s="326"/>
      <c r="M48" s="196"/>
      <c r="N48" s="437"/>
      <c r="O48" s="355"/>
      <c r="P48" s="355"/>
      <c r="Q48" s="496"/>
      <c r="R48" s="196"/>
      <c r="S48" s="207"/>
      <c r="T48" s="189"/>
    </row>
    <row r="49" spans="1:20" x14ac:dyDescent="0.15">
      <c r="B49" s="348" t="s">
        <v>433</v>
      </c>
      <c r="C49" s="349"/>
      <c r="D49" s="335">
        <v>-1.1499999999999999</v>
      </c>
      <c r="E49" s="335"/>
      <c r="F49" s="335"/>
      <c r="G49" s="335">
        <v>208</v>
      </c>
      <c r="H49" s="332">
        <f>SUM(D49*G49)</f>
        <v>-239.2</v>
      </c>
      <c r="I49" s="346">
        <f>+Stab!$K$96</f>
        <v>5.8</v>
      </c>
      <c r="J49" s="347">
        <f t="shared" ref="J49:J56" si="34">I49*H49</f>
        <v>-1387.36</v>
      </c>
      <c r="K49" s="326"/>
      <c r="M49" s="196"/>
      <c r="N49" s="438"/>
      <c r="O49" s="355">
        <v>1</v>
      </c>
      <c r="P49" s="355"/>
      <c r="Q49" s="496"/>
      <c r="R49" s="196"/>
      <c r="S49" s="207">
        <f t="shared" ref="S49:S56" si="35">SUM(M49:R49)</f>
        <v>1</v>
      </c>
      <c r="T49" s="212">
        <f t="shared" ref="T49:T56" si="36">S49*J49</f>
        <v>-1387.36</v>
      </c>
    </row>
    <row r="50" spans="1:20" x14ac:dyDescent="0.15">
      <c r="B50" s="348" t="s">
        <v>438</v>
      </c>
      <c r="C50" s="349"/>
      <c r="D50" s="335">
        <v>-1.1499999999999999</v>
      </c>
      <c r="E50" s="335"/>
      <c r="F50" s="335"/>
      <c r="G50" s="335">
        <v>375.8</v>
      </c>
      <c r="H50" s="332">
        <f t="shared" ref="H50:H56" si="37">SUM(D50*G50)</f>
        <v>-432.17</v>
      </c>
      <c r="I50" s="346">
        <f>+Stab!$K$96</f>
        <v>5.8</v>
      </c>
      <c r="J50" s="347">
        <f t="shared" si="34"/>
        <v>-2506.59</v>
      </c>
      <c r="K50" s="326"/>
      <c r="M50" s="196"/>
      <c r="N50" s="438"/>
      <c r="O50" s="355">
        <v>1</v>
      </c>
      <c r="P50" s="355"/>
      <c r="Q50" s="496"/>
      <c r="R50" s="196"/>
      <c r="S50" s="207">
        <f t="shared" si="35"/>
        <v>1</v>
      </c>
      <c r="T50" s="212">
        <f t="shared" si="36"/>
        <v>-2506.59</v>
      </c>
    </row>
    <row r="51" spans="1:20" x14ac:dyDescent="0.15">
      <c r="B51" s="348" t="s">
        <v>439</v>
      </c>
      <c r="C51" s="349"/>
      <c r="D51" s="335">
        <v>-1.1499999999999999</v>
      </c>
      <c r="E51" s="335"/>
      <c r="F51" s="335"/>
      <c r="G51" s="335">
        <v>87.9</v>
      </c>
      <c r="H51" s="332">
        <f t="shared" si="37"/>
        <v>-101.09</v>
      </c>
      <c r="I51" s="346">
        <f>+Stab!$K$96</f>
        <v>5.8</v>
      </c>
      <c r="J51" s="347">
        <f t="shared" si="34"/>
        <v>-586.32000000000005</v>
      </c>
      <c r="K51" s="326"/>
      <c r="M51" s="196"/>
      <c r="N51" s="438"/>
      <c r="O51" s="355">
        <v>1</v>
      </c>
      <c r="P51" s="355"/>
      <c r="Q51" s="496"/>
      <c r="R51" s="196"/>
      <c r="S51" s="207">
        <f t="shared" si="35"/>
        <v>1</v>
      </c>
      <c r="T51" s="212">
        <f t="shared" si="36"/>
        <v>-586.32000000000005</v>
      </c>
    </row>
    <row r="52" spans="1:20" x14ac:dyDescent="0.15">
      <c r="B52" s="348" t="s">
        <v>440</v>
      </c>
      <c r="C52" s="349"/>
      <c r="D52" s="335">
        <v>-1.1499999999999999</v>
      </c>
      <c r="E52" s="335"/>
      <c r="F52" s="335"/>
      <c r="G52" s="335">
        <v>52.9</v>
      </c>
      <c r="H52" s="332">
        <f t="shared" si="37"/>
        <v>-60.84</v>
      </c>
      <c r="I52" s="346">
        <f>+Stab!$K$96</f>
        <v>5.8</v>
      </c>
      <c r="J52" s="347">
        <f t="shared" si="34"/>
        <v>-352.87</v>
      </c>
      <c r="K52" s="326"/>
      <c r="M52" s="196"/>
      <c r="N52" s="438"/>
      <c r="O52" s="355">
        <v>1</v>
      </c>
      <c r="P52" s="355"/>
      <c r="Q52" s="496"/>
      <c r="R52" s="196"/>
      <c r="S52" s="207">
        <f t="shared" si="35"/>
        <v>1</v>
      </c>
      <c r="T52" s="212">
        <f t="shared" si="36"/>
        <v>-352.87</v>
      </c>
    </row>
    <row r="53" spans="1:20" x14ac:dyDescent="0.15">
      <c r="B53" s="348" t="s">
        <v>444</v>
      </c>
      <c r="C53" s="349"/>
      <c r="D53" s="335">
        <v>-1.1499999999999999</v>
      </c>
      <c r="E53" s="335"/>
      <c r="F53" s="335"/>
      <c r="G53" s="335">
        <v>31.6</v>
      </c>
      <c r="H53" s="332">
        <f t="shared" si="37"/>
        <v>-36.340000000000003</v>
      </c>
      <c r="I53" s="346">
        <f>+Stab!$K$96</f>
        <v>5.8</v>
      </c>
      <c r="J53" s="347">
        <f t="shared" si="34"/>
        <v>-210.77</v>
      </c>
      <c r="K53" s="326"/>
      <c r="M53" s="196"/>
      <c r="N53" s="438"/>
      <c r="O53" s="355">
        <v>1</v>
      </c>
      <c r="P53" s="355"/>
      <c r="Q53" s="496"/>
      <c r="R53" s="196"/>
      <c r="S53" s="207">
        <f t="shared" si="35"/>
        <v>1</v>
      </c>
      <c r="T53" s="212">
        <f t="shared" si="36"/>
        <v>-210.77</v>
      </c>
    </row>
    <row r="54" spans="1:20" x14ac:dyDescent="0.15">
      <c r="B54" s="348" t="s">
        <v>445</v>
      </c>
      <c r="C54" s="349"/>
      <c r="D54" s="335">
        <v>-1.1499999999999999</v>
      </c>
      <c r="E54" s="335"/>
      <c r="F54" s="335"/>
      <c r="G54" s="335">
        <v>36.6</v>
      </c>
      <c r="H54" s="332">
        <f t="shared" si="37"/>
        <v>-42.09</v>
      </c>
      <c r="I54" s="346">
        <f>+Stab!$K$96</f>
        <v>5.8</v>
      </c>
      <c r="J54" s="347">
        <f t="shared" si="34"/>
        <v>-244.12</v>
      </c>
      <c r="K54" s="326"/>
      <c r="M54" s="196"/>
      <c r="N54" s="438"/>
      <c r="O54" s="355">
        <v>1</v>
      </c>
      <c r="P54" s="355"/>
      <c r="Q54" s="496"/>
      <c r="R54" s="196"/>
      <c r="S54" s="207">
        <f t="shared" si="35"/>
        <v>1</v>
      </c>
      <c r="T54" s="212">
        <f t="shared" si="36"/>
        <v>-244.12</v>
      </c>
    </row>
    <row r="55" spans="1:20" x14ac:dyDescent="0.15">
      <c r="B55" s="348" t="s">
        <v>446</v>
      </c>
      <c r="C55" s="349"/>
      <c r="D55" s="335">
        <v>-1.1499999999999999</v>
      </c>
      <c r="E55" s="335"/>
      <c r="F55" s="335"/>
      <c r="G55" s="335">
        <v>64.3</v>
      </c>
      <c r="H55" s="332">
        <f t="shared" si="37"/>
        <v>-73.95</v>
      </c>
      <c r="I55" s="346">
        <f>+Stab!$K$96</f>
        <v>5.8</v>
      </c>
      <c r="J55" s="347">
        <f t="shared" si="34"/>
        <v>-428.91</v>
      </c>
      <c r="K55" s="326"/>
      <c r="M55" s="196"/>
      <c r="N55" s="438"/>
      <c r="O55" s="355">
        <v>1</v>
      </c>
      <c r="P55" s="355"/>
      <c r="Q55" s="496"/>
      <c r="R55" s="196"/>
      <c r="S55" s="207">
        <f t="shared" si="35"/>
        <v>1</v>
      </c>
      <c r="T55" s="212">
        <f t="shared" si="36"/>
        <v>-428.91</v>
      </c>
    </row>
    <row r="56" spans="1:20" x14ac:dyDescent="0.15">
      <c r="B56" s="348" t="s">
        <v>447</v>
      </c>
      <c r="C56" s="349"/>
      <c r="D56" s="335">
        <v>-1.1499999999999999</v>
      </c>
      <c r="E56" s="335"/>
      <c r="F56" s="335"/>
      <c r="G56" s="335">
        <v>111.2</v>
      </c>
      <c r="H56" s="332">
        <f t="shared" si="37"/>
        <v>-127.88</v>
      </c>
      <c r="I56" s="346">
        <f>+Stab!$K$96</f>
        <v>5.8</v>
      </c>
      <c r="J56" s="347">
        <f t="shared" si="34"/>
        <v>-741.7</v>
      </c>
      <c r="K56" s="326"/>
      <c r="M56" s="196"/>
      <c r="N56" s="438"/>
      <c r="O56" s="355">
        <v>1</v>
      </c>
      <c r="P56" s="355"/>
      <c r="Q56" s="496"/>
      <c r="R56" s="196"/>
      <c r="S56" s="207">
        <f t="shared" si="35"/>
        <v>1</v>
      </c>
      <c r="T56" s="212">
        <f t="shared" si="36"/>
        <v>-741.7</v>
      </c>
    </row>
    <row r="57" spans="1:20" ht="6.75" customHeight="1" x14ac:dyDescent="0.15">
      <c r="K57" s="326"/>
      <c r="M57" s="196"/>
      <c r="N57" s="438"/>
      <c r="O57" s="355"/>
      <c r="P57" s="355"/>
      <c r="Q57" s="496"/>
      <c r="R57" s="196"/>
      <c r="S57" s="207"/>
      <c r="T57" s="189"/>
    </row>
    <row r="58" spans="1:20" x14ac:dyDescent="0.15">
      <c r="A58" s="344" t="s">
        <v>602</v>
      </c>
      <c r="B58" s="345" t="s">
        <v>335</v>
      </c>
      <c r="C58" s="328"/>
      <c r="D58" s="335"/>
      <c r="E58" s="335"/>
      <c r="F58" s="335"/>
      <c r="G58" s="335"/>
      <c r="I58" s="346"/>
      <c r="J58" s="347"/>
      <c r="K58" s="326"/>
      <c r="M58" s="196"/>
      <c r="N58" s="437"/>
      <c r="O58" s="355"/>
      <c r="P58" s="355"/>
      <c r="Q58" s="496"/>
      <c r="R58" s="196"/>
      <c r="S58" s="207"/>
      <c r="T58" s="189"/>
    </row>
    <row r="59" spans="1:20" x14ac:dyDescent="0.15">
      <c r="B59" s="348" t="s">
        <v>437</v>
      </c>
      <c r="C59" s="349"/>
      <c r="D59" s="335">
        <v>-1</v>
      </c>
      <c r="E59" s="335">
        <v>2</v>
      </c>
      <c r="F59" s="335"/>
      <c r="G59" s="335"/>
      <c r="H59" s="332">
        <f>+D59*E59</f>
        <v>-2</v>
      </c>
      <c r="I59" s="346">
        <f>+Stab!$K$108</f>
        <v>125</v>
      </c>
      <c r="J59" s="347">
        <f t="shared" ref="J59:J62" si="38">I59*H59</f>
        <v>-250</v>
      </c>
      <c r="K59" s="326"/>
      <c r="M59" s="196"/>
      <c r="N59" s="438"/>
      <c r="O59" s="355">
        <v>1</v>
      </c>
      <c r="P59" s="355"/>
      <c r="Q59" s="496"/>
      <c r="R59" s="196"/>
      <c r="S59" s="207">
        <f t="shared" ref="S59:S62" si="39">SUM(M59:R59)</f>
        <v>1</v>
      </c>
      <c r="T59" s="212">
        <f t="shared" ref="T59:T62" si="40">S59*J59</f>
        <v>-250</v>
      </c>
    </row>
    <row r="60" spans="1:20" x14ac:dyDescent="0.15">
      <c r="B60" s="348" t="s">
        <v>441</v>
      </c>
      <c r="C60" s="349"/>
      <c r="D60" s="335">
        <v>-1</v>
      </c>
      <c r="E60" s="335">
        <v>1</v>
      </c>
      <c r="F60" s="335"/>
      <c r="G60" s="335"/>
      <c r="H60" s="332">
        <f t="shared" ref="H60:H62" si="41">+D60*E60</f>
        <v>-1</v>
      </c>
      <c r="I60" s="346">
        <f>+Stab!$K$108</f>
        <v>125</v>
      </c>
      <c r="J60" s="347">
        <f t="shared" si="38"/>
        <v>-125</v>
      </c>
      <c r="K60" s="326"/>
      <c r="M60" s="196"/>
      <c r="N60" s="438"/>
      <c r="O60" s="355">
        <v>1</v>
      </c>
      <c r="P60" s="355"/>
      <c r="Q60" s="496"/>
      <c r="R60" s="196"/>
      <c r="S60" s="207">
        <f t="shared" si="39"/>
        <v>1</v>
      </c>
      <c r="T60" s="212">
        <f t="shared" si="40"/>
        <v>-125</v>
      </c>
    </row>
    <row r="61" spans="1:20" x14ac:dyDescent="0.15">
      <c r="B61" s="348" t="s">
        <v>442</v>
      </c>
      <c r="C61" s="349"/>
      <c r="D61" s="335">
        <v>-1</v>
      </c>
      <c r="E61" s="335">
        <v>4</v>
      </c>
      <c r="F61" s="335"/>
      <c r="G61" s="335"/>
      <c r="H61" s="332">
        <f t="shared" si="41"/>
        <v>-4</v>
      </c>
      <c r="I61" s="346">
        <f>+Stab!$K$108</f>
        <v>125</v>
      </c>
      <c r="J61" s="347">
        <f t="shared" si="38"/>
        <v>-500</v>
      </c>
      <c r="K61" s="326"/>
      <c r="M61" s="196"/>
      <c r="N61" s="438"/>
      <c r="O61" s="355">
        <v>1</v>
      </c>
      <c r="P61" s="355"/>
      <c r="Q61" s="496"/>
      <c r="R61" s="196"/>
      <c r="S61" s="207">
        <f t="shared" si="39"/>
        <v>1</v>
      </c>
      <c r="T61" s="212">
        <f t="shared" si="40"/>
        <v>-500</v>
      </c>
    </row>
    <row r="62" spans="1:20" x14ac:dyDescent="0.15">
      <c r="B62" s="348" t="s">
        <v>443</v>
      </c>
      <c r="C62" s="349"/>
      <c r="D62" s="335">
        <v>-1</v>
      </c>
      <c r="E62" s="335">
        <v>2</v>
      </c>
      <c r="F62" s="335"/>
      <c r="G62" s="335"/>
      <c r="H62" s="332">
        <f t="shared" si="41"/>
        <v>-2</v>
      </c>
      <c r="I62" s="346">
        <f>+Stab!$K$108</f>
        <v>125</v>
      </c>
      <c r="J62" s="347">
        <f t="shared" si="38"/>
        <v>-250</v>
      </c>
      <c r="K62" s="326"/>
      <c r="M62" s="196"/>
      <c r="N62" s="438"/>
      <c r="O62" s="355">
        <v>1</v>
      </c>
      <c r="P62" s="355"/>
      <c r="Q62" s="496"/>
      <c r="R62" s="196"/>
      <c r="S62" s="207">
        <f t="shared" si="39"/>
        <v>1</v>
      </c>
      <c r="T62" s="212">
        <f t="shared" si="40"/>
        <v>-250</v>
      </c>
    </row>
    <row r="63" spans="1:20" ht="6.75" customHeight="1" x14ac:dyDescent="0.15">
      <c r="K63" s="326"/>
      <c r="M63" s="196"/>
      <c r="N63" s="438"/>
      <c r="O63" s="355"/>
      <c r="P63" s="355"/>
      <c r="Q63" s="496"/>
      <c r="R63" s="196"/>
      <c r="S63" s="207"/>
      <c r="T63" s="189"/>
    </row>
    <row r="64" spans="1:20" x14ac:dyDescent="0.15">
      <c r="A64" s="336" t="s">
        <v>595</v>
      </c>
      <c r="B64" s="337" t="s">
        <v>577</v>
      </c>
      <c r="C64" s="337"/>
      <c r="D64" s="338"/>
      <c r="E64" s="338"/>
      <c r="F64" s="338"/>
      <c r="G64" s="338"/>
      <c r="H64" s="339"/>
      <c r="I64" s="340"/>
      <c r="J64" s="337"/>
      <c r="K64" s="341">
        <f>SUM(J65:J139)</f>
        <v>8718.08</v>
      </c>
      <c r="M64" s="350"/>
      <c r="N64" s="438"/>
      <c r="O64" s="437"/>
      <c r="P64" s="437"/>
      <c r="Q64" s="489"/>
      <c r="R64" s="350"/>
      <c r="S64" s="207"/>
      <c r="T64" s="249"/>
    </row>
    <row r="65" spans="1:20" ht="6.75" customHeight="1" x14ac:dyDescent="0.15">
      <c r="K65" s="326"/>
      <c r="M65" s="196"/>
      <c r="N65" s="438"/>
      <c r="O65" s="355"/>
      <c r="P65" s="355"/>
      <c r="Q65" s="496"/>
      <c r="R65" s="196"/>
      <c r="S65" s="207"/>
      <c r="T65" s="189"/>
    </row>
    <row r="66" spans="1:20" x14ac:dyDescent="0.15">
      <c r="A66" s="344" t="s">
        <v>611</v>
      </c>
      <c r="B66" s="345" t="s">
        <v>664</v>
      </c>
      <c r="C66" s="328"/>
      <c r="D66" s="335"/>
      <c r="E66" s="335"/>
      <c r="F66" s="335"/>
      <c r="G66" s="335"/>
      <c r="I66" s="346"/>
      <c r="J66" s="347"/>
      <c r="K66" s="326"/>
      <c r="M66" s="350"/>
      <c r="N66" s="438"/>
      <c r="O66" s="437"/>
      <c r="P66" s="437"/>
      <c r="Q66" s="489"/>
      <c r="R66" s="350"/>
      <c r="S66" s="207"/>
      <c r="T66" s="249"/>
    </row>
    <row r="67" spans="1:20" x14ac:dyDescent="0.15">
      <c r="A67" s="344" t="s">
        <v>612</v>
      </c>
      <c r="B67" s="356" t="s">
        <v>550</v>
      </c>
      <c r="C67" s="328"/>
      <c r="D67" s="335"/>
      <c r="E67" s="335"/>
      <c r="F67" s="335"/>
      <c r="G67" s="335"/>
      <c r="I67" s="346"/>
      <c r="J67" s="347"/>
      <c r="K67" s="326"/>
      <c r="M67" s="350"/>
      <c r="N67" s="438"/>
      <c r="O67" s="437"/>
      <c r="P67" s="437"/>
      <c r="Q67" s="489"/>
      <c r="R67" s="350"/>
      <c r="S67" s="207"/>
      <c r="T67" s="249"/>
    </row>
    <row r="68" spans="1:20" x14ac:dyDescent="0.15">
      <c r="A68" s="344"/>
      <c r="B68" s="348" t="s">
        <v>580</v>
      </c>
      <c r="C68" s="349" t="s">
        <v>304</v>
      </c>
      <c r="D68" s="335">
        <v>0</v>
      </c>
      <c r="E68" s="335">
        <v>5.35</v>
      </c>
      <c r="F68" s="335">
        <v>0.45</v>
      </c>
      <c r="G68" s="335">
        <v>0.85</v>
      </c>
      <c r="H68" s="332">
        <f t="shared" ref="H68" si="42">SUM(D68*E68*G68)*2</f>
        <v>0</v>
      </c>
      <c r="I68" s="346">
        <f>+Stab!K4</f>
        <v>313.76</v>
      </c>
      <c r="J68" s="347">
        <f t="shared" ref="J68" si="43">I68*H68</f>
        <v>0</v>
      </c>
      <c r="K68" s="326"/>
      <c r="M68" s="196"/>
      <c r="N68" s="438"/>
      <c r="O68" s="355"/>
      <c r="P68" s="355"/>
      <c r="Q68" s="496"/>
      <c r="R68" s="196"/>
      <c r="S68" s="207"/>
      <c r="T68" s="212"/>
    </row>
    <row r="69" spans="1:20" x14ac:dyDescent="0.15">
      <c r="A69" s="344"/>
      <c r="B69" s="348" t="s">
        <v>581</v>
      </c>
      <c r="C69" s="349" t="s">
        <v>297</v>
      </c>
      <c r="D69" s="335">
        <v>-1</v>
      </c>
      <c r="E69" s="335">
        <v>5.35</v>
      </c>
      <c r="F69" s="335">
        <v>0.45</v>
      </c>
      <c r="G69" s="335">
        <v>0.85</v>
      </c>
      <c r="H69" s="332">
        <f>SUM(D69*E69*G69)*2</f>
        <v>-9.1</v>
      </c>
      <c r="I69" s="346">
        <f>+Stab!K11</f>
        <v>59.56</v>
      </c>
      <c r="J69" s="347">
        <f t="shared" ref="J69:J77" si="44">I69*H69</f>
        <v>-542</v>
      </c>
      <c r="K69" s="326"/>
      <c r="M69" s="196"/>
      <c r="N69" s="438"/>
      <c r="O69" s="355">
        <v>0.05</v>
      </c>
      <c r="P69" s="355"/>
      <c r="Q69" s="496">
        <v>0.95</v>
      </c>
      <c r="R69" s="196"/>
      <c r="S69" s="207">
        <f t="shared" ref="S69:S71" si="45">SUM(M69:R69)</f>
        <v>1</v>
      </c>
      <c r="T69" s="212">
        <f t="shared" ref="T69:T71" si="46">S69*J69</f>
        <v>-542</v>
      </c>
    </row>
    <row r="70" spans="1:20" x14ac:dyDescent="0.15">
      <c r="A70" s="344"/>
      <c r="B70" s="348" t="s">
        <v>582</v>
      </c>
      <c r="C70" s="349" t="s">
        <v>305</v>
      </c>
      <c r="D70" s="335">
        <v>-1</v>
      </c>
      <c r="E70" s="335">
        <v>1</v>
      </c>
      <c r="F70" s="335">
        <v>1</v>
      </c>
      <c r="G70" s="335">
        <f>20.9+20.9+14.2+16.5</f>
        <v>72.5</v>
      </c>
      <c r="H70" s="332">
        <f>+D70*E70*F70*G70</f>
        <v>-72.5</v>
      </c>
      <c r="I70" s="346">
        <f>+Stab!K18</f>
        <v>4.8499999999999996</v>
      </c>
      <c r="J70" s="347">
        <f t="shared" si="44"/>
        <v>-351.63</v>
      </c>
      <c r="K70" s="326"/>
      <c r="M70" s="196"/>
      <c r="N70" s="438"/>
      <c r="O70" s="355">
        <v>0.05</v>
      </c>
      <c r="P70" s="355"/>
      <c r="Q70" s="496">
        <v>0.95</v>
      </c>
      <c r="R70" s="196"/>
      <c r="S70" s="207">
        <f t="shared" si="45"/>
        <v>1</v>
      </c>
      <c r="T70" s="212">
        <f t="shared" si="46"/>
        <v>-351.63</v>
      </c>
    </row>
    <row r="71" spans="1:20" x14ac:dyDescent="0.15">
      <c r="A71" s="344"/>
      <c r="B71" s="348" t="s">
        <v>586</v>
      </c>
      <c r="C71" s="349" t="s">
        <v>297</v>
      </c>
      <c r="D71" s="335">
        <v>-1</v>
      </c>
      <c r="E71" s="335">
        <v>5.35</v>
      </c>
      <c r="F71" s="335">
        <v>0.45</v>
      </c>
      <c r="G71" s="335">
        <v>0.85</v>
      </c>
      <c r="H71" s="332">
        <f>SUM(D71*E71*F71)</f>
        <v>-2.41</v>
      </c>
      <c r="I71" s="346">
        <f>+Stab!K26</f>
        <v>12.36</v>
      </c>
      <c r="J71" s="347">
        <f t="shared" si="44"/>
        <v>-29.79</v>
      </c>
      <c r="K71" s="326"/>
      <c r="M71" s="196"/>
      <c r="N71" s="438"/>
      <c r="O71" s="355">
        <v>0.05</v>
      </c>
      <c r="P71" s="355"/>
      <c r="Q71" s="496">
        <v>0.95</v>
      </c>
      <c r="R71" s="196"/>
      <c r="S71" s="207">
        <f t="shared" si="45"/>
        <v>1</v>
      </c>
      <c r="T71" s="212">
        <f t="shared" si="46"/>
        <v>-29.79</v>
      </c>
    </row>
    <row r="72" spans="1:20" ht="16" x14ac:dyDescent="0.15">
      <c r="A72" s="344" t="s">
        <v>613</v>
      </c>
      <c r="B72" s="354" t="s">
        <v>597</v>
      </c>
      <c r="C72" s="349"/>
      <c r="D72" s="335"/>
      <c r="E72" s="335"/>
      <c r="F72" s="335"/>
      <c r="G72" s="335"/>
      <c r="I72" s="346"/>
      <c r="J72" s="347"/>
      <c r="K72" s="326" t="s">
        <v>588</v>
      </c>
      <c r="M72" s="196"/>
      <c r="N72" s="438"/>
      <c r="O72" s="355"/>
      <c r="P72" s="355"/>
      <c r="Q72" s="496"/>
      <c r="R72" s="196"/>
      <c r="S72" s="207"/>
      <c r="T72" s="212"/>
    </row>
    <row r="73" spans="1:20" x14ac:dyDescent="0.15">
      <c r="A73" s="344"/>
      <c r="B73" s="348" t="s">
        <v>580</v>
      </c>
      <c r="C73" s="349" t="s">
        <v>304</v>
      </c>
      <c r="D73" s="335">
        <v>-1</v>
      </c>
      <c r="E73" s="335">
        <v>14.38</v>
      </c>
      <c r="F73" s="335"/>
      <c r="G73" s="335">
        <v>0.15</v>
      </c>
      <c r="H73" s="332">
        <f>SUM(D73*E73*G73)</f>
        <v>-2.16</v>
      </c>
      <c r="I73" s="346">
        <f>+Stab!K33</f>
        <v>313.76</v>
      </c>
      <c r="J73" s="347">
        <f t="shared" si="44"/>
        <v>-677.72</v>
      </c>
      <c r="K73" s="326"/>
      <c r="M73" s="196"/>
      <c r="N73" s="438"/>
      <c r="O73" s="355">
        <v>0.05</v>
      </c>
      <c r="P73" s="355"/>
      <c r="Q73" s="496">
        <v>0.95</v>
      </c>
      <c r="R73" s="196"/>
      <c r="S73" s="207">
        <f t="shared" ref="S73:S77" si="47">SUM(M73:R73)</f>
        <v>1</v>
      </c>
      <c r="T73" s="212">
        <f t="shared" ref="T73:T77" si="48">S73*J73</f>
        <v>-677.72</v>
      </c>
    </row>
    <row r="74" spans="1:20" x14ac:dyDescent="0.15">
      <c r="A74" s="344"/>
      <c r="B74" s="348" t="s">
        <v>581</v>
      </c>
      <c r="C74" s="349" t="s">
        <v>297</v>
      </c>
      <c r="D74" s="335">
        <v>-1</v>
      </c>
      <c r="E74" s="335">
        <v>3.14</v>
      </c>
      <c r="F74" s="335"/>
      <c r="G74" s="335">
        <v>0.15</v>
      </c>
      <c r="H74" s="332">
        <f>SUM(D74*E74*G74)</f>
        <v>-0.47</v>
      </c>
      <c r="I74" s="346">
        <f>+Stab!K37</f>
        <v>59.56</v>
      </c>
      <c r="J74" s="347">
        <f t="shared" si="44"/>
        <v>-27.99</v>
      </c>
      <c r="K74" s="326"/>
      <c r="M74" s="196"/>
      <c r="N74" s="438"/>
      <c r="O74" s="355">
        <v>0.05</v>
      </c>
      <c r="P74" s="355"/>
      <c r="Q74" s="496">
        <v>0.95</v>
      </c>
      <c r="R74" s="196"/>
      <c r="S74" s="207">
        <f t="shared" si="47"/>
        <v>1</v>
      </c>
      <c r="T74" s="212">
        <f t="shared" si="48"/>
        <v>-27.99</v>
      </c>
    </row>
    <row r="75" spans="1:20" x14ac:dyDescent="0.15">
      <c r="A75" s="344"/>
      <c r="B75" s="348" t="s">
        <v>582</v>
      </c>
      <c r="C75" s="349" t="s">
        <v>305</v>
      </c>
      <c r="D75" s="335">
        <v>-1</v>
      </c>
      <c r="E75" s="335"/>
      <c r="F75" s="335"/>
      <c r="G75" s="335">
        <v>11.95</v>
      </c>
      <c r="H75" s="332">
        <f t="shared" ref="H75:H76" si="49">SUM(D75*G75)</f>
        <v>-11.95</v>
      </c>
      <c r="I75" s="346">
        <f>+Stab!K41</f>
        <v>4.8499999999999996</v>
      </c>
      <c r="J75" s="347">
        <f t="shared" si="44"/>
        <v>-57.96</v>
      </c>
      <c r="K75" s="326"/>
      <c r="M75" s="196"/>
      <c r="N75" s="438"/>
      <c r="O75" s="355">
        <v>0.05</v>
      </c>
      <c r="P75" s="355"/>
      <c r="Q75" s="496">
        <v>0.95</v>
      </c>
      <c r="R75" s="196"/>
      <c r="S75" s="207">
        <f t="shared" si="47"/>
        <v>1</v>
      </c>
      <c r="T75" s="212">
        <f t="shared" si="48"/>
        <v>-57.96</v>
      </c>
    </row>
    <row r="76" spans="1:20" x14ac:dyDescent="0.15">
      <c r="A76" s="344"/>
      <c r="B76" s="348" t="s">
        <v>583</v>
      </c>
      <c r="C76" s="349" t="s">
        <v>305</v>
      </c>
      <c r="D76" s="335">
        <v>-1</v>
      </c>
      <c r="E76" s="335"/>
      <c r="F76" s="335"/>
      <c r="G76" s="335">
        <v>62.18</v>
      </c>
      <c r="H76" s="332">
        <f t="shared" si="49"/>
        <v>-62.18</v>
      </c>
      <c r="I76" s="346">
        <f>+Stab!K46</f>
        <v>4.05</v>
      </c>
      <c r="J76" s="347">
        <f t="shared" si="44"/>
        <v>-251.83</v>
      </c>
      <c r="K76" s="326"/>
      <c r="M76" s="196"/>
      <c r="N76" s="438"/>
      <c r="O76" s="355">
        <v>0.05</v>
      </c>
      <c r="P76" s="355"/>
      <c r="Q76" s="496">
        <v>0.95</v>
      </c>
      <c r="R76" s="196"/>
      <c r="S76" s="207">
        <f t="shared" si="47"/>
        <v>1</v>
      </c>
      <c r="T76" s="212">
        <f t="shared" si="48"/>
        <v>-251.83</v>
      </c>
    </row>
    <row r="77" spans="1:20" x14ac:dyDescent="0.15">
      <c r="A77" s="344"/>
      <c r="B77" s="348" t="s">
        <v>586</v>
      </c>
      <c r="C77" s="349" t="s">
        <v>297</v>
      </c>
      <c r="D77" s="335">
        <v>-1</v>
      </c>
      <c r="E77" s="335">
        <v>14.38</v>
      </c>
      <c r="F77" s="335"/>
      <c r="G77" s="335">
        <v>0.15</v>
      </c>
      <c r="H77" s="332">
        <f>SUM(D77*E77)</f>
        <v>-14.38</v>
      </c>
      <c r="I77" s="346">
        <f>+Stab!K50</f>
        <v>12.36</v>
      </c>
      <c r="J77" s="347">
        <f t="shared" si="44"/>
        <v>-177.74</v>
      </c>
      <c r="K77" s="326"/>
      <c r="M77" s="196"/>
      <c r="N77" s="438"/>
      <c r="O77" s="355">
        <v>0.05</v>
      </c>
      <c r="P77" s="355"/>
      <c r="Q77" s="496">
        <v>0.95</v>
      </c>
      <c r="R77" s="196"/>
      <c r="S77" s="207">
        <f t="shared" si="47"/>
        <v>1</v>
      </c>
      <c r="T77" s="212">
        <f t="shared" si="48"/>
        <v>-177.74</v>
      </c>
    </row>
    <row r="78" spans="1:20" x14ac:dyDescent="0.15">
      <c r="A78" s="344" t="s">
        <v>614</v>
      </c>
      <c r="B78" s="348" t="s">
        <v>579</v>
      </c>
      <c r="C78" s="328"/>
      <c r="D78" s="335"/>
      <c r="E78" s="335"/>
      <c r="F78" s="335"/>
      <c r="G78" s="335"/>
      <c r="I78" s="346"/>
      <c r="J78" s="347"/>
      <c r="K78" s="326"/>
      <c r="M78" s="196"/>
      <c r="N78" s="438"/>
      <c r="O78" s="355"/>
      <c r="P78" s="355"/>
      <c r="Q78" s="496"/>
      <c r="R78" s="196"/>
      <c r="S78" s="207"/>
      <c r="T78" s="212"/>
    </row>
    <row r="79" spans="1:20" x14ac:dyDescent="0.15">
      <c r="A79" s="344"/>
      <c r="B79" s="348" t="s">
        <v>580</v>
      </c>
      <c r="C79" s="349" t="s">
        <v>304</v>
      </c>
      <c r="D79" s="335">
        <f>2.73*1*(0.2+0.25)/2</f>
        <v>0.61</v>
      </c>
      <c r="E79" s="335"/>
      <c r="F79" s="335"/>
      <c r="G79" s="335"/>
      <c r="H79" s="332">
        <f>+D79</f>
        <v>0.61</v>
      </c>
      <c r="I79" s="346">
        <f>+Stab!K4</f>
        <v>313.76</v>
      </c>
      <c r="J79" s="347">
        <f t="shared" ref="J79:J81" si="50">I79*H79</f>
        <v>191.39</v>
      </c>
      <c r="K79" s="326"/>
      <c r="M79" s="196"/>
      <c r="N79" s="438"/>
      <c r="O79" s="355">
        <v>0.05</v>
      </c>
      <c r="P79" s="355"/>
      <c r="Q79" s="496">
        <v>0.95</v>
      </c>
      <c r="R79" s="196"/>
      <c r="S79" s="207">
        <f t="shared" ref="S79:S83" si="51">SUM(M79:R79)</f>
        <v>1</v>
      </c>
      <c r="T79" s="212">
        <f t="shared" ref="T79:T83" si="52">S79*J79</f>
        <v>191.39</v>
      </c>
    </row>
    <row r="80" spans="1:20" x14ac:dyDescent="0.15">
      <c r="A80" s="344"/>
      <c r="B80" s="348" t="s">
        <v>581</v>
      </c>
      <c r="C80" s="349" t="s">
        <v>297</v>
      </c>
      <c r="D80" s="335">
        <f>2*1.05*2.73</f>
        <v>5.73</v>
      </c>
      <c r="E80" s="335"/>
      <c r="F80" s="335"/>
      <c r="G80" s="335"/>
      <c r="H80" s="332">
        <f>+D80</f>
        <v>5.73</v>
      </c>
      <c r="I80" s="346">
        <f>+Stab!K11</f>
        <v>59.56</v>
      </c>
      <c r="J80" s="347">
        <f t="shared" si="50"/>
        <v>341.28</v>
      </c>
      <c r="K80" s="326"/>
      <c r="M80" s="196"/>
      <c r="N80" s="438"/>
      <c r="O80" s="355">
        <v>0.05</v>
      </c>
      <c r="P80" s="355"/>
      <c r="Q80" s="496">
        <v>0.95</v>
      </c>
      <c r="R80" s="196"/>
      <c r="S80" s="207">
        <f t="shared" si="51"/>
        <v>1</v>
      </c>
      <c r="T80" s="212">
        <f t="shared" si="52"/>
        <v>341.28</v>
      </c>
    </row>
    <row r="81" spans="1:20" x14ac:dyDescent="0.15">
      <c r="A81" s="344"/>
      <c r="B81" s="348" t="s">
        <v>582</v>
      </c>
      <c r="C81" s="349" t="s">
        <v>305</v>
      </c>
      <c r="D81" s="335">
        <f>30.6+6.2+2.1</f>
        <v>38.9</v>
      </c>
      <c r="E81" s="335"/>
      <c r="F81" s="335"/>
      <c r="G81" s="335"/>
      <c r="H81" s="332">
        <f>+D81</f>
        <v>38.9</v>
      </c>
      <c r="I81" s="346">
        <f>+Stab!K18</f>
        <v>4.8499999999999996</v>
      </c>
      <c r="J81" s="347">
        <f t="shared" si="50"/>
        <v>188.67</v>
      </c>
      <c r="K81" s="326"/>
      <c r="M81" s="196"/>
      <c r="N81" s="438"/>
      <c r="O81" s="355">
        <v>0.3</v>
      </c>
      <c r="P81" s="355"/>
      <c r="Q81" s="496">
        <v>0.7</v>
      </c>
      <c r="R81" s="196"/>
      <c r="S81" s="207">
        <f t="shared" si="51"/>
        <v>1</v>
      </c>
      <c r="T81" s="212">
        <f t="shared" si="52"/>
        <v>188.67</v>
      </c>
    </row>
    <row r="82" spans="1:20" x14ac:dyDescent="0.15">
      <c r="A82" s="344"/>
      <c r="B82" s="348" t="s">
        <v>583</v>
      </c>
      <c r="C82" s="349" t="s">
        <v>305</v>
      </c>
      <c r="D82" s="335">
        <f>26.3+26.3</f>
        <v>52.6</v>
      </c>
      <c r="E82" s="335"/>
      <c r="F82" s="335"/>
      <c r="G82" s="335"/>
      <c r="H82" s="332">
        <f>+D82</f>
        <v>52.6</v>
      </c>
      <c r="I82" s="346">
        <f>+Stab!K46</f>
        <v>4.05</v>
      </c>
      <c r="J82" s="347">
        <f t="shared" ref="J82:J83" si="53">I82*H82</f>
        <v>213.03</v>
      </c>
      <c r="K82" s="326"/>
      <c r="M82" s="196"/>
      <c r="N82" s="438"/>
      <c r="O82" s="355">
        <v>0.3</v>
      </c>
      <c r="P82" s="355"/>
      <c r="Q82" s="496">
        <v>0.7</v>
      </c>
      <c r="R82" s="196"/>
      <c r="S82" s="207">
        <f t="shared" si="51"/>
        <v>1</v>
      </c>
      <c r="T82" s="212">
        <f t="shared" si="52"/>
        <v>213.03</v>
      </c>
    </row>
    <row r="83" spans="1:20" x14ac:dyDescent="0.15">
      <c r="A83" s="344"/>
      <c r="B83" s="348" t="s">
        <v>586</v>
      </c>
      <c r="C83" s="349" t="s">
        <v>297</v>
      </c>
      <c r="D83" s="335">
        <f>2.73*0.2</f>
        <v>0.55000000000000004</v>
      </c>
      <c r="E83" s="335"/>
      <c r="F83" s="335"/>
      <c r="G83" s="335"/>
      <c r="H83" s="332">
        <f>+D83</f>
        <v>0.55000000000000004</v>
      </c>
      <c r="I83" s="346">
        <f>+Stab!K26</f>
        <v>12.36</v>
      </c>
      <c r="J83" s="347">
        <f t="shared" si="53"/>
        <v>6.8</v>
      </c>
      <c r="K83" s="326"/>
      <c r="M83" s="196"/>
      <c r="N83" s="437"/>
      <c r="O83" s="355">
        <v>0.05</v>
      </c>
      <c r="P83" s="355"/>
      <c r="Q83" s="496">
        <v>0.95</v>
      </c>
      <c r="R83" s="196"/>
      <c r="S83" s="207">
        <f t="shared" si="51"/>
        <v>1</v>
      </c>
      <c r="T83" s="212">
        <f t="shared" si="52"/>
        <v>6.8</v>
      </c>
    </row>
    <row r="84" spans="1:20" x14ac:dyDescent="0.15">
      <c r="A84" s="344" t="s">
        <v>615</v>
      </c>
      <c r="B84" s="348" t="s">
        <v>589</v>
      </c>
      <c r="C84" s="328"/>
      <c r="D84" s="335"/>
      <c r="E84" s="335"/>
      <c r="F84" s="335"/>
      <c r="G84" s="335"/>
      <c r="I84" s="346"/>
      <c r="J84" s="347"/>
      <c r="K84" s="326"/>
      <c r="M84" s="196"/>
      <c r="N84" s="437"/>
      <c r="O84" s="355"/>
      <c r="P84" s="355"/>
      <c r="Q84" s="496"/>
      <c r="R84" s="196"/>
      <c r="S84" s="207"/>
      <c r="T84" s="212"/>
    </row>
    <row r="85" spans="1:20" x14ac:dyDescent="0.15">
      <c r="A85" s="344"/>
      <c r="B85" s="348" t="s">
        <v>580</v>
      </c>
      <c r="C85" s="349" t="s">
        <v>304</v>
      </c>
      <c r="D85" s="335">
        <f>3.73*(5.35-1.5)*0.15</f>
        <v>2.15</v>
      </c>
      <c r="E85" s="335"/>
      <c r="F85" s="335"/>
      <c r="G85" s="335"/>
      <c r="H85" s="332">
        <f>+D85</f>
        <v>2.15</v>
      </c>
      <c r="I85" s="346">
        <f>+Stab!K33</f>
        <v>313.76</v>
      </c>
      <c r="J85" s="347">
        <f t="shared" ref="J85:J88" si="54">I85*H85</f>
        <v>674.58</v>
      </c>
      <c r="K85" s="326"/>
      <c r="M85" s="196"/>
      <c r="N85" s="438"/>
      <c r="O85" s="355">
        <v>0.05</v>
      </c>
      <c r="P85" s="355"/>
      <c r="Q85" s="496">
        <v>0.95</v>
      </c>
      <c r="R85" s="196"/>
      <c r="S85" s="207">
        <f t="shared" ref="S85:S88" si="55">SUM(M85:R85)</f>
        <v>1</v>
      </c>
      <c r="T85" s="212">
        <f t="shared" ref="T85:T88" si="56">S85*J85</f>
        <v>674.58</v>
      </c>
    </row>
    <row r="86" spans="1:20" x14ac:dyDescent="0.15">
      <c r="A86" s="344"/>
      <c r="B86" s="348" t="s">
        <v>581</v>
      </c>
      <c r="C86" s="349" t="s">
        <v>297</v>
      </c>
      <c r="D86" s="335">
        <f>+(5.35-1.5)*0.15</f>
        <v>0.57999999999999996</v>
      </c>
      <c r="E86" s="335"/>
      <c r="F86" s="335"/>
      <c r="G86" s="335"/>
      <c r="H86" s="332">
        <f>+D86</f>
        <v>0.57999999999999996</v>
      </c>
      <c r="I86" s="346">
        <f>+Stab!K37</f>
        <v>59.56</v>
      </c>
      <c r="J86" s="347">
        <f t="shared" si="54"/>
        <v>34.54</v>
      </c>
      <c r="K86" s="326"/>
      <c r="M86" s="196"/>
      <c r="N86" s="438"/>
      <c r="O86" s="355">
        <v>0.05</v>
      </c>
      <c r="P86" s="355"/>
      <c r="Q86" s="496">
        <v>0.95</v>
      </c>
      <c r="R86" s="196"/>
      <c r="S86" s="207">
        <f t="shared" si="55"/>
        <v>1</v>
      </c>
      <c r="T86" s="212">
        <f t="shared" si="56"/>
        <v>34.54</v>
      </c>
    </row>
    <row r="87" spans="1:20" x14ac:dyDescent="0.15">
      <c r="A87" s="344"/>
      <c r="B87" s="348" t="s">
        <v>583</v>
      </c>
      <c r="C87" s="349" t="s">
        <v>305</v>
      </c>
      <c r="D87" s="335">
        <v>110.1</v>
      </c>
      <c r="E87" s="335"/>
      <c r="F87" s="335"/>
      <c r="G87" s="335"/>
      <c r="H87" s="332">
        <f>+D87</f>
        <v>110.1</v>
      </c>
      <c r="I87" s="346">
        <f>+Stab!K46</f>
        <v>4.05</v>
      </c>
      <c r="J87" s="347">
        <f t="shared" si="54"/>
        <v>445.91</v>
      </c>
      <c r="K87" s="326"/>
      <c r="M87" s="196"/>
      <c r="N87" s="438"/>
      <c r="O87" s="355">
        <v>0.3</v>
      </c>
      <c r="P87" s="355"/>
      <c r="Q87" s="496">
        <v>0.7</v>
      </c>
      <c r="R87" s="196"/>
      <c r="S87" s="207">
        <f t="shared" si="55"/>
        <v>1</v>
      </c>
      <c r="T87" s="212">
        <f t="shared" si="56"/>
        <v>445.91</v>
      </c>
    </row>
    <row r="88" spans="1:20" x14ac:dyDescent="0.15">
      <c r="A88" s="344"/>
      <c r="B88" s="348" t="s">
        <v>586</v>
      </c>
      <c r="C88" s="349" t="s">
        <v>297</v>
      </c>
      <c r="D88" s="335">
        <f>3.73*(5.35-1.5)</f>
        <v>14.36</v>
      </c>
      <c r="E88" s="335"/>
      <c r="F88" s="335"/>
      <c r="G88" s="335"/>
      <c r="H88" s="332">
        <f>+D88</f>
        <v>14.36</v>
      </c>
      <c r="I88" s="346">
        <f>+Stab!K50</f>
        <v>12.36</v>
      </c>
      <c r="J88" s="347">
        <f t="shared" si="54"/>
        <v>177.49</v>
      </c>
      <c r="K88" s="326"/>
      <c r="M88" s="196"/>
      <c r="N88" s="437"/>
      <c r="O88" s="355">
        <v>0.05</v>
      </c>
      <c r="P88" s="355"/>
      <c r="Q88" s="496">
        <v>0.95</v>
      </c>
      <c r="R88" s="196"/>
      <c r="S88" s="207">
        <f t="shared" si="55"/>
        <v>1</v>
      </c>
      <c r="T88" s="212">
        <f t="shared" si="56"/>
        <v>177.49</v>
      </c>
    </row>
    <row r="89" spans="1:20" x14ac:dyDescent="0.15">
      <c r="A89" s="344" t="s">
        <v>616</v>
      </c>
      <c r="B89" s="348" t="s">
        <v>590</v>
      </c>
      <c r="C89" s="328"/>
      <c r="D89" s="335"/>
      <c r="E89" s="335"/>
      <c r="F89" s="335"/>
      <c r="G89" s="335"/>
      <c r="I89" s="346"/>
      <c r="J89" s="347"/>
      <c r="K89" s="326"/>
      <c r="M89" s="196"/>
      <c r="N89" s="437"/>
      <c r="O89" s="355"/>
      <c r="P89" s="355"/>
      <c r="Q89" s="496"/>
      <c r="R89" s="196"/>
      <c r="S89" s="207"/>
      <c r="T89" s="212"/>
    </row>
    <row r="90" spans="1:20" x14ac:dyDescent="0.15">
      <c r="A90" s="344"/>
      <c r="B90" s="348" t="s">
        <v>580</v>
      </c>
      <c r="C90" s="349" t="s">
        <v>304</v>
      </c>
      <c r="D90" s="335">
        <f>3.73*1.5*0.2</f>
        <v>1.1200000000000001</v>
      </c>
      <c r="E90" s="335"/>
      <c r="F90" s="335"/>
      <c r="G90" s="335"/>
      <c r="H90" s="332">
        <f>+D90</f>
        <v>1.1200000000000001</v>
      </c>
      <c r="I90" s="346">
        <f>+Stab!K37</f>
        <v>59.56</v>
      </c>
      <c r="J90" s="347">
        <f t="shared" ref="J90:J94" si="57">I90*H90</f>
        <v>66.709999999999994</v>
      </c>
      <c r="K90" s="326"/>
      <c r="M90" s="196"/>
      <c r="N90" s="438"/>
      <c r="O90" s="355">
        <v>0.05</v>
      </c>
      <c r="P90" s="355"/>
      <c r="Q90" s="496">
        <v>0.95</v>
      </c>
      <c r="R90" s="196"/>
      <c r="S90" s="207">
        <f t="shared" ref="S90:S94" si="58">SUM(M90:R90)</f>
        <v>1</v>
      </c>
      <c r="T90" s="212">
        <f t="shared" ref="T90:T94" si="59">S90*J90</f>
        <v>66.709999999999994</v>
      </c>
    </row>
    <row r="91" spans="1:20" x14ac:dyDescent="0.15">
      <c r="A91" s="344"/>
      <c r="B91" s="348" t="s">
        <v>581</v>
      </c>
      <c r="C91" s="349" t="s">
        <v>297</v>
      </c>
      <c r="D91" s="335">
        <f>+(1.5+3.73)*0.2+3.73*0.05</f>
        <v>1.23</v>
      </c>
      <c r="E91" s="335"/>
      <c r="F91" s="335"/>
      <c r="G91" s="335"/>
      <c r="H91" s="332">
        <f>+D91</f>
        <v>1.23</v>
      </c>
      <c r="I91" s="346">
        <f>+Stab!K41</f>
        <v>4.8499999999999996</v>
      </c>
      <c r="J91" s="347">
        <f t="shared" si="57"/>
        <v>5.97</v>
      </c>
      <c r="K91" s="326"/>
      <c r="M91" s="196"/>
      <c r="N91" s="438"/>
      <c r="O91" s="355">
        <v>0.05</v>
      </c>
      <c r="P91" s="355"/>
      <c r="Q91" s="496">
        <v>0.95</v>
      </c>
      <c r="R91" s="196"/>
      <c r="S91" s="207">
        <f t="shared" si="58"/>
        <v>1</v>
      </c>
      <c r="T91" s="212">
        <f t="shared" si="59"/>
        <v>5.97</v>
      </c>
    </row>
    <row r="92" spans="1:20" x14ac:dyDescent="0.15">
      <c r="A92" s="344"/>
      <c r="B92" s="348" t="s">
        <v>583</v>
      </c>
      <c r="C92" s="349" t="s">
        <v>305</v>
      </c>
      <c r="D92" s="335">
        <f>39.4+39.4</f>
        <v>78.8</v>
      </c>
      <c r="E92" s="335"/>
      <c r="F92" s="335"/>
      <c r="G92" s="335"/>
      <c r="H92" s="332">
        <f>+D92</f>
        <v>78.8</v>
      </c>
      <c r="I92" s="346">
        <f>+Stab!K50</f>
        <v>12.36</v>
      </c>
      <c r="J92" s="347">
        <f t="shared" si="57"/>
        <v>973.97</v>
      </c>
      <c r="K92" s="326"/>
      <c r="M92" s="196"/>
      <c r="N92" s="438"/>
      <c r="O92" s="355">
        <v>0.3</v>
      </c>
      <c r="P92" s="355"/>
      <c r="Q92" s="496">
        <v>0.7</v>
      </c>
      <c r="R92" s="196"/>
      <c r="S92" s="207">
        <f t="shared" si="58"/>
        <v>1</v>
      </c>
      <c r="T92" s="212">
        <f t="shared" si="59"/>
        <v>973.97</v>
      </c>
    </row>
    <row r="93" spans="1:20" x14ac:dyDescent="0.15">
      <c r="A93" s="344"/>
      <c r="B93" s="348" t="s">
        <v>586</v>
      </c>
      <c r="C93" s="349" t="s">
        <v>297</v>
      </c>
      <c r="D93" s="335">
        <f>3.73*1.5</f>
        <v>5.6</v>
      </c>
      <c r="E93" s="335"/>
      <c r="F93" s="335"/>
      <c r="G93" s="335"/>
      <c r="H93" s="332">
        <f>+D93</f>
        <v>5.6</v>
      </c>
      <c r="I93" s="346">
        <f>+Stab!K54</f>
        <v>75</v>
      </c>
      <c r="J93" s="347">
        <f t="shared" si="57"/>
        <v>420</v>
      </c>
      <c r="K93" s="326"/>
      <c r="M93" s="196"/>
      <c r="N93" s="437"/>
      <c r="O93" s="355">
        <v>0.05</v>
      </c>
      <c r="P93" s="355"/>
      <c r="Q93" s="496">
        <v>0.95</v>
      </c>
      <c r="R93" s="196"/>
      <c r="S93" s="207">
        <f t="shared" si="58"/>
        <v>1</v>
      </c>
      <c r="T93" s="212">
        <f t="shared" si="59"/>
        <v>420</v>
      </c>
    </row>
    <row r="94" spans="1:20" ht="16" x14ac:dyDescent="0.15">
      <c r="A94" s="344" t="s">
        <v>617</v>
      </c>
      <c r="B94" s="348" t="s">
        <v>598</v>
      </c>
      <c r="C94" s="357" t="s">
        <v>297</v>
      </c>
      <c r="D94" s="335"/>
      <c r="E94" s="335"/>
      <c r="F94" s="335"/>
      <c r="G94" s="335"/>
      <c r="H94" s="332">
        <f>6.31*5.35+3.72*5.35-Stab!J55</f>
        <v>9.2799999999999994</v>
      </c>
      <c r="I94" s="346">
        <f>+Stab!K55</f>
        <v>78.62</v>
      </c>
      <c r="J94" s="347">
        <f t="shared" si="57"/>
        <v>729.59</v>
      </c>
      <c r="K94" s="326" t="s">
        <v>599</v>
      </c>
      <c r="M94" s="196"/>
      <c r="N94" s="437"/>
      <c r="O94" s="355">
        <v>0.05</v>
      </c>
      <c r="P94" s="355"/>
      <c r="Q94" s="496">
        <v>0.95</v>
      </c>
      <c r="R94" s="196"/>
      <c r="S94" s="207">
        <f t="shared" si="58"/>
        <v>1</v>
      </c>
      <c r="T94" s="212">
        <f t="shared" si="59"/>
        <v>729.59</v>
      </c>
    </row>
    <row r="95" spans="1:20" x14ac:dyDescent="0.15">
      <c r="A95" s="344" t="s">
        <v>618</v>
      </c>
      <c r="B95" s="348" t="s">
        <v>593</v>
      </c>
      <c r="C95" s="358" t="s">
        <v>307</v>
      </c>
      <c r="D95" s="335"/>
      <c r="E95" s="335"/>
      <c r="F95" s="335"/>
      <c r="G95" s="335"/>
      <c r="H95" s="332">
        <v>2.2999999999999998</v>
      </c>
      <c r="I95" s="346">
        <v>144.13</v>
      </c>
      <c r="J95" s="347">
        <f t="shared" ref="J95:J97" si="60">I95*H95</f>
        <v>331.5</v>
      </c>
      <c r="K95" s="326"/>
      <c r="M95" s="196"/>
      <c r="N95" s="437"/>
      <c r="O95" s="355">
        <v>0.05</v>
      </c>
      <c r="P95" s="355"/>
      <c r="Q95" s="496">
        <v>0.95</v>
      </c>
      <c r="R95" s="196"/>
      <c r="S95" s="207">
        <f t="shared" ref="S95" si="61">SUM(M95:R95)</f>
        <v>1</v>
      </c>
      <c r="T95" s="212">
        <f t="shared" ref="T95" si="62">S95*J95</f>
        <v>331.5</v>
      </c>
    </row>
    <row r="96" spans="1:20" x14ac:dyDescent="0.15">
      <c r="A96" s="344" t="s">
        <v>622</v>
      </c>
      <c r="B96" s="348" t="s">
        <v>625</v>
      </c>
      <c r="C96" s="352" t="s">
        <v>297</v>
      </c>
      <c r="D96" s="335">
        <f>+D83+D88+D93</f>
        <v>20.51</v>
      </c>
      <c r="E96" s="335"/>
      <c r="F96" s="335"/>
      <c r="G96" s="335"/>
      <c r="H96" s="332">
        <f>+D96</f>
        <v>20.51</v>
      </c>
      <c r="I96" s="346">
        <f>+' - état 30 - Février  06  '!K202</f>
        <v>4.3499999999999996</v>
      </c>
      <c r="J96" s="347">
        <f t="shared" si="60"/>
        <v>89.22</v>
      </c>
      <c r="K96" s="326"/>
      <c r="M96" s="196"/>
      <c r="N96" s="437"/>
      <c r="O96" s="355">
        <v>0.05</v>
      </c>
      <c r="P96" s="355"/>
      <c r="Q96" s="496">
        <v>0.95</v>
      </c>
      <c r="R96" s="196"/>
      <c r="S96" s="207">
        <f t="shared" ref="S96" si="63">SUM(M96:R96)</f>
        <v>1</v>
      </c>
      <c r="T96" s="212">
        <f t="shared" ref="T96" si="64">S96*J96</f>
        <v>89.22</v>
      </c>
    </row>
    <row r="97" spans="1:21" x14ac:dyDescent="0.15">
      <c r="A97" s="344" t="s">
        <v>623</v>
      </c>
      <c r="B97" s="353" t="s">
        <v>626</v>
      </c>
      <c r="C97" s="352" t="s">
        <v>385</v>
      </c>
      <c r="D97" s="335"/>
      <c r="E97" s="335"/>
      <c r="F97" s="335"/>
      <c r="G97" s="335"/>
      <c r="H97" s="332">
        <v>1</v>
      </c>
      <c r="I97" s="346">
        <v>200</v>
      </c>
      <c r="J97" s="347">
        <f t="shared" si="60"/>
        <v>200</v>
      </c>
      <c r="K97" s="326"/>
      <c r="M97" s="196"/>
      <c r="N97" s="437"/>
      <c r="O97" s="355">
        <v>0.05</v>
      </c>
      <c r="P97" s="355"/>
      <c r="Q97" s="496">
        <v>0.95</v>
      </c>
      <c r="R97" s="196"/>
      <c r="S97" s="207">
        <f t="shared" ref="S97:S99" si="65">SUM(M97:R97)</f>
        <v>1</v>
      </c>
      <c r="T97" s="212">
        <f t="shared" ref="T97:T99" si="66">S97*J97</f>
        <v>200</v>
      </c>
    </row>
    <row r="98" spans="1:21" ht="32" x14ac:dyDescent="0.15">
      <c r="A98" s="344" t="s">
        <v>624</v>
      </c>
      <c r="B98" s="359" t="s">
        <v>627</v>
      </c>
      <c r="C98" s="352" t="s">
        <v>304</v>
      </c>
      <c r="D98" s="335">
        <f>1*1*2.73</f>
        <v>2.73</v>
      </c>
      <c r="E98" s="335"/>
      <c r="F98" s="335"/>
      <c r="G98" s="335"/>
      <c r="H98" s="332">
        <f>+D98</f>
        <v>2.73</v>
      </c>
      <c r="I98" s="346">
        <v>265</v>
      </c>
      <c r="J98" s="347">
        <f t="shared" ref="J98:J99" si="67">I98*H98</f>
        <v>723.45</v>
      </c>
      <c r="K98" s="326" t="s">
        <v>661</v>
      </c>
      <c r="M98" s="196"/>
      <c r="N98" s="437"/>
      <c r="O98" s="355">
        <v>0.05</v>
      </c>
      <c r="P98" s="355"/>
      <c r="Q98" s="496">
        <v>0.95</v>
      </c>
      <c r="R98" s="196"/>
      <c r="S98" s="207">
        <f t="shared" si="65"/>
        <v>1</v>
      </c>
      <c r="T98" s="212">
        <f t="shared" si="66"/>
        <v>723.45</v>
      </c>
    </row>
    <row r="99" spans="1:21" x14ac:dyDescent="0.15">
      <c r="A99" s="344" t="s">
        <v>628</v>
      </c>
      <c r="B99" s="353" t="s">
        <v>629</v>
      </c>
      <c r="C99" s="352" t="s">
        <v>385</v>
      </c>
      <c r="D99" s="335"/>
      <c r="E99" s="335"/>
      <c r="F99" s="335"/>
      <c r="G99" s="335"/>
      <c r="H99" s="332">
        <v>1</v>
      </c>
      <c r="I99" s="346">
        <v>1085</v>
      </c>
      <c r="J99" s="347">
        <f t="shared" si="67"/>
        <v>1085</v>
      </c>
      <c r="K99" s="326"/>
      <c r="M99" s="196"/>
      <c r="N99" s="437"/>
      <c r="O99" s="355">
        <v>0.05</v>
      </c>
      <c r="P99" s="355"/>
      <c r="Q99" s="496">
        <v>0.95</v>
      </c>
      <c r="R99" s="196"/>
      <c r="S99" s="207">
        <f t="shared" si="65"/>
        <v>1</v>
      </c>
      <c r="T99" s="212">
        <f t="shared" si="66"/>
        <v>1085</v>
      </c>
    </row>
    <row r="100" spans="1:21" ht="6.75" customHeight="1" x14ac:dyDescent="0.15">
      <c r="A100" s="344"/>
      <c r="K100" s="326"/>
      <c r="M100" s="196"/>
      <c r="N100" s="438"/>
      <c r="O100" s="355"/>
      <c r="P100" s="355"/>
      <c r="Q100" s="496"/>
      <c r="R100" s="196"/>
      <c r="S100" s="207"/>
      <c r="T100" s="189"/>
    </row>
    <row r="101" spans="1:21" x14ac:dyDescent="0.15">
      <c r="A101" s="344" t="s">
        <v>619</v>
      </c>
      <c r="B101" s="345" t="s">
        <v>609</v>
      </c>
      <c r="C101" s="328"/>
      <c r="D101" s="335"/>
      <c r="E101" s="335"/>
      <c r="F101" s="335"/>
      <c r="G101" s="335"/>
      <c r="I101" s="346"/>
      <c r="J101" s="347"/>
      <c r="K101" s="326"/>
      <c r="M101" s="350"/>
      <c r="N101" s="438"/>
      <c r="O101" s="437"/>
      <c r="P101" s="437"/>
      <c r="Q101" s="489"/>
      <c r="R101" s="350"/>
      <c r="S101" s="207"/>
      <c r="T101" s="249"/>
    </row>
    <row r="102" spans="1:21" s="335" customFormat="1" x14ac:dyDescent="0.15">
      <c r="A102" s="344" t="s">
        <v>630</v>
      </c>
      <c r="B102" s="353" t="s">
        <v>610</v>
      </c>
      <c r="C102" s="328"/>
      <c r="H102" s="332"/>
      <c r="I102" s="346"/>
      <c r="J102" s="347"/>
      <c r="K102" s="326"/>
      <c r="L102" s="329"/>
      <c r="M102" s="196"/>
      <c r="N102" s="437"/>
      <c r="O102" s="355"/>
      <c r="P102" s="355"/>
      <c r="Q102" s="496"/>
      <c r="R102" s="196"/>
      <c r="S102" s="207"/>
      <c r="T102" s="189"/>
      <c r="U102" s="329"/>
    </row>
    <row r="103" spans="1:21" s="335" customFormat="1" x14ac:dyDescent="0.15">
      <c r="A103" s="344"/>
      <c r="B103" s="348" t="s">
        <v>580</v>
      </c>
      <c r="C103" s="349" t="s">
        <v>304</v>
      </c>
      <c r="D103" s="335">
        <f>+(6.45-3.22)*0.4*0.1</f>
        <v>0.13</v>
      </c>
      <c r="H103" s="332">
        <f>+D103</f>
        <v>0.13</v>
      </c>
      <c r="I103" s="346">
        <f>+Stab!K175</f>
        <v>695</v>
      </c>
      <c r="J103" s="347">
        <f t="shared" ref="J103:J105" si="68">I103*H103</f>
        <v>90.35</v>
      </c>
      <c r="K103" s="326"/>
      <c r="L103" s="329"/>
      <c r="M103" s="196"/>
      <c r="N103" s="437"/>
      <c r="O103" s="355">
        <v>0.05</v>
      </c>
      <c r="P103" s="355">
        <v>0.95</v>
      </c>
      <c r="Q103" s="496"/>
      <c r="R103" s="196"/>
      <c r="S103" s="207">
        <f t="shared" ref="S103:S105" si="69">SUM(M103:R103)</f>
        <v>1</v>
      </c>
      <c r="T103" s="212">
        <f t="shared" ref="T103:T105" si="70">S103*J103</f>
        <v>90.35</v>
      </c>
      <c r="U103" s="329"/>
    </row>
    <row r="104" spans="1:21" s="335" customFormat="1" x14ac:dyDescent="0.15">
      <c r="A104" s="344"/>
      <c r="B104" s="348" t="s">
        <v>581</v>
      </c>
      <c r="C104" s="349" t="s">
        <v>297</v>
      </c>
      <c r="D104" s="335">
        <f>+(6.45-3.22)*(0.4+2*0.1)</f>
        <v>1.94</v>
      </c>
      <c r="H104" s="332">
        <f>+D104</f>
        <v>1.94</v>
      </c>
      <c r="I104" s="346">
        <f>+Stab!K179</f>
        <v>115.17</v>
      </c>
      <c r="J104" s="347">
        <f t="shared" si="68"/>
        <v>223.43</v>
      </c>
      <c r="K104" s="326"/>
      <c r="L104" s="329"/>
      <c r="M104" s="196"/>
      <c r="N104" s="437"/>
      <c r="O104" s="355">
        <v>0.05</v>
      </c>
      <c r="P104" s="355">
        <v>0.95</v>
      </c>
      <c r="Q104" s="496"/>
      <c r="R104" s="196"/>
      <c r="S104" s="207">
        <f t="shared" si="69"/>
        <v>1</v>
      </c>
      <c r="T104" s="212">
        <f t="shared" si="70"/>
        <v>223.43</v>
      </c>
      <c r="U104" s="329"/>
    </row>
    <row r="105" spans="1:21" s="335" customFormat="1" x14ac:dyDescent="0.15">
      <c r="A105" s="344"/>
      <c r="B105" s="348" t="s">
        <v>583</v>
      </c>
      <c r="C105" s="349" t="s">
        <v>305</v>
      </c>
      <c r="D105" s="335">
        <v>16.899999999999999</v>
      </c>
      <c r="H105" s="332">
        <f>+D105</f>
        <v>16.899999999999999</v>
      </c>
      <c r="I105" s="346">
        <f>+Stab!K183</f>
        <v>4.8499999999999996</v>
      </c>
      <c r="J105" s="347">
        <f t="shared" si="68"/>
        <v>81.97</v>
      </c>
      <c r="K105" s="334"/>
      <c r="L105" s="329"/>
      <c r="M105" s="196"/>
      <c r="N105" s="437"/>
      <c r="O105" s="355">
        <v>0.05</v>
      </c>
      <c r="P105" s="355">
        <v>0.95</v>
      </c>
      <c r="Q105" s="496"/>
      <c r="R105" s="196"/>
      <c r="S105" s="207">
        <f t="shared" si="69"/>
        <v>1</v>
      </c>
      <c r="T105" s="212">
        <f t="shared" si="70"/>
        <v>81.97</v>
      </c>
      <c r="U105" s="329"/>
    </row>
    <row r="106" spans="1:21" s="335" customFormat="1" ht="6.75" customHeight="1" x14ac:dyDescent="0.15">
      <c r="A106" s="344"/>
      <c r="B106" s="329"/>
      <c r="C106" s="330"/>
      <c r="D106" s="331"/>
      <c r="E106" s="331"/>
      <c r="F106" s="331"/>
      <c r="G106" s="331"/>
      <c r="H106" s="332"/>
      <c r="I106" s="333"/>
      <c r="J106" s="330"/>
      <c r="K106" s="326"/>
      <c r="L106" s="329"/>
      <c r="M106" s="196"/>
      <c r="N106" s="437"/>
      <c r="O106" s="355"/>
      <c r="P106" s="355"/>
      <c r="Q106" s="496"/>
      <c r="R106" s="196"/>
      <c r="S106" s="207"/>
      <c r="T106" s="189"/>
    </row>
    <row r="107" spans="1:21" x14ac:dyDescent="0.15">
      <c r="A107" s="344" t="s">
        <v>631</v>
      </c>
      <c r="B107" s="345" t="s">
        <v>637</v>
      </c>
      <c r="C107" s="328"/>
      <c r="D107" s="335"/>
      <c r="E107" s="335"/>
      <c r="F107" s="335"/>
      <c r="G107" s="335"/>
      <c r="I107" s="346"/>
      <c r="J107" s="347"/>
      <c r="K107" s="326"/>
      <c r="M107" s="196"/>
      <c r="N107" s="437"/>
      <c r="O107" s="355"/>
      <c r="P107" s="355"/>
      <c r="Q107" s="496"/>
      <c r="R107" s="196"/>
      <c r="S107" s="207"/>
      <c r="T107" s="212"/>
    </row>
    <row r="108" spans="1:21" s="335" customFormat="1" x14ac:dyDescent="0.15">
      <c r="A108" s="344"/>
      <c r="B108" s="353" t="s">
        <v>632</v>
      </c>
      <c r="C108" s="352" t="s">
        <v>305</v>
      </c>
      <c r="D108" s="335">
        <v>-1.1499999999999999</v>
      </c>
      <c r="G108" s="335">
        <v>61.8</v>
      </c>
      <c r="H108" s="332">
        <f>SUM(D108*G108)</f>
        <v>-71.069999999999993</v>
      </c>
      <c r="I108" s="346">
        <f>+Stab!K96</f>
        <v>5.8</v>
      </c>
      <c r="J108" s="347">
        <f t="shared" ref="J108" si="71">I108*H108</f>
        <v>-412.21</v>
      </c>
      <c r="K108" s="326"/>
      <c r="L108" s="329"/>
      <c r="M108" s="196"/>
      <c r="N108" s="437"/>
      <c r="O108" s="355">
        <v>0.05</v>
      </c>
      <c r="P108" s="355">
        <v>0.95</v>
      </c>
      <c r="Q108" s="496"/>
      <c r="R108" s="196"/>
      <c r="S108" s="207">
        <f t="shared" ref="S108:S109" si="72">SUM(M108:R108)</f>
        <v>1</v>
      </c>
      <c r="T108" s="212">
        <f t="shared" ref="T108:T109" si="73">S108*J108</f>
        <v>-412.21</v>
      </c>
    </row>
    <row r="109" spans="1:21" s="335" customFormat="1" x14ac:dyDescent="0.15">
      <c r="A109" s="344"/>
      <c r="B109" s="353" t="s">
        <v>633</v>
      </c>
      <c r="C109" s="352" t="s">
        <v>305</v>
      </c>
      <c r="D109" s="335">
        <v>1.1499999999999999</v>
      </c>
      <c r="G109" s="335">
        <f>1.74*36.76</f>
        <v>63.96</v>
      </c>
      <c r="H109" s="332">
        <f>SUM(D109*G109)</f>
        <v>73.55</v>
      </c>
      <c r="I109" s="346">
        <f>+I108</f>
        <v>5.8</v>
      </c>
      <c r="J109" s="347">
        <f t="shared" ref="J109" si="74">I109*H109</f>
        <v>426.59</v>
      </c>
      <c r="K109" s="326"/>
      <c r="L109" s="329"/>
      <c r="M109" s="196"/>
      <c r="N109" s="437"/>
      <c r="O109" s="355">
        <v>0.05</v>
      </c>
      <c r="P109" s="355">
        <v>0.95</v>
      </c>
      <c r="Q109" s="496"/>
      <c r="R109" s="196"/>
      <c r="S109" s="207">
        <f t="shared" si="72"/>
        <v>1</v>
      </c>
      <c r="T109" s="212">
        <f t="shared" si="73"/>
        <v>426.59</v>
      </c>
    </row>
    <row r="110" spans="1:21" s="335" customFormat="1" ht="6.75" customHeight="1" x14ac:dyDescent="0.15">
      <c r="A110" s="344"/>
      <c r="B110" s="329"/>
      <c r="C110" s="330"/>
      <c r="D110" s="331"/>
      <c r="E110" s="331"/>
      <c r="F110" s="331"/>
      <c r="G110" s="331"/>
      <c r="H110" s="332"/>
      <c r="I110" s="333"/>
      <c r="J110" s="330"/>
      <c r="K110" s="326"/>
      <c r="L110" s="329"/>
      <c r="M110" s="196"/>
      <c r="N110" s="437"/>
      <c r="O110" s="355"/>
      <c r="P110" s="355"/>
      <c r="Q110" s="496"/>
      <c r="R110" s="196"/>
      <c r="S110" s="207"/>
      <c r="T110" s="212"/>
    </row>
    <row r="111" spans="1:21" s="335" customFormat="1" x14ac:dyDescent="0.15">
      <c r="A111" s="344" t="s">
        <v>635</v>
      </c>
      <c r="B111" s="345" t="s">
        <v>665</v>
      </c>
      <c r="C111" s="328"/>
      <c r="H111" s="332"/>
      <c r="I111" s="346"/>
      <c r="J111" s="347"/>
      <c r="K111" s="326"/>
      <c r="L111" s="329"/>
      <c r="M111" s="196"/>
      <c r="N111" s="437"/>
      <c r="O111" s="355"/>
      <c r="P111" s="355"/>
      <c r="Q111" s="496"/>
      <c r="R111" s="196"/>
      <c r="S111" s="207"/>
      <c r="T111" s="212"/>
    </row>
    <row r="112" spans="1:21" s="335" customFormat="1" x14ac:dyDescent="0.15">
      <c r="A112" s="344"/>
      <c r="B112" s="353" t="s">
        <v>634</v>
      </c>
      <c r="C112" s="358" t="s">
        <v>307</v>
      </c>
      <c r="H112" s="332">
        <v>1.4</v>
      </c>
      <c r="I112" s="346">
        <v>155.36000000000001</v>
      </c>
      <c r="J112" s="347">
        <f t="shared" ref="J112:J113" si="75">I112*H112</f>
        <v>217.5</v>
      </c>
      <c r="K112" s="326"/>
      <c r="L112" s="329"/>
      <c r="M112" s="196"/>
      <c r="N112" s="437"/>
      <c r="O112" s="355">
        <v>0.05</v>
      </c>
      <c r="P112" s="355">
        <v>0.95</v>
      </c>
      <c r="Q112" s="496"/>
      <c r="R112" s="196"/>
      <c r="S112" s="207">
        <f t="shared" ref="S112:S113" si="76">SUM(M112:R112)</f>
        <v>1</v>
      </c>
      <c r="T112" s="212">
        <f t="shared" ref="T112:T113" si="77">S112*J112</f>
        <v>217.5</v>
      </c>
    </row>
    <row r="113" spans="1:20" s="335" customFormat="1" x14ac:dyDescent="0.15">
      <c r="A113" s="344"/>
      <c r="B113" s="359" t="s">
        <v>662</v>
      </c>
      <c r="C113" s="358" t="s">
        <v>385</v>
      </c>
      <c r="H113" s="332">
        <v>1</v>
      </c>
      <c r="I113" s="346">
        <v>150</v>
      </c>
      <c r="J113" s="347">
        <f t="shared" si="75"/>
        <v>150</v>
      </c>
      <c r="K113" s="326"/>
      <c r="L113" s="329"/>
      <c r="M113" s="196"/>
      <c r="N113" s="437"/>
      <c r="O113" s="355">
        <v>0.05</v>
      </c>
      <c r="P113" s="355">
        <v>0.95</v>
      </c>
      <c r="Q113" s="496"/>
      <c r="R113" s="196"/>
      <c r="S113" s="207">
        <f t="shared" si="76"/>
        <v>1</v>
      </c>
      <c r="T113" s="212">
        <f t="shared" si="77"/>
        <v>150</v>
      </c>
    </row>
    <row r="114" spans="1:20" s="335" customFormat="1" ht="6.75" customHeight="1" x14ac:dyDescent="0.15">
      <c r="A114" s="344"/>
      <c r="B114" s="329"/>
      <c r="C114" s="330"/>
      <c r="D114" s="331"/>
      <c r="E114" s="331"/>
      <c r="F114" s="331"/>
      <c r="G114" s="331"/>
      <c r="H114" s="332"/>
      <c r="I114" s="333"/>
      <c r="J114" s="330"/>
      <c r="K114" s="326"/>
      <c r="L114" s="329"/>
      <c r="M114" s="196"/>
      <c r="N114" s="437"/>
      <c r="O114" s="355"/>
      <c r="P114" s="355"/>
      <c r="Q114" s="496"/>
      <c r="R114" s="196"/>
      <c r="S114" s="207"/>
      <c r="T114" s="212"/>
    </row>
    <row r="115" spans="1:20" s="335" customFormat="1" x14ac:dyDescent="0.15">
      <c r="A115" s="344" t="s">
        <v>636</v>
      </c>
      <c r="B115" s="345" t="s">
        <v>666</v>
      </c>
      <c r="C115" s="328"/>
      <c r="H115" s="332"/>
      <c r="I115" s="346"/>
      <c r="J115" s="347"/>
      <c r="K115" s="326"/>
      <c r="L115" s="329"/>
      <c r="M115" s="196"/>
      <c r="N115" s="437"/>
      <c r="O115" s="355"/>
      <c r="P115" s="355"/>
      <c r="Q115" s="496"/>
      <c r="R115" s="196"/>
      <c r="S115" s="207"/>
      <c r="T115" s="212"/>
    </row>
    <row r="116" spans="1:20" s="335" customFormat="1" x14ac:dyDescent="0.15">
      <c r="A116" s="344"/>
      <c r="B116" s="353" t="s">
        <v>124</v>
      </c>
      <c r="C116" s="352"/>
      <c r="H116" s="332"/>
      <c r="I116" s="346"/>
      <c r="J116" s="309" t="s">
        <v>642</v>
      </c>
      <c r="K116" s="326"/>
      <c r="L116" s="329"/>
      <c r="M116" s="196"/>
      <c r="N116" s="437"/>
      <c r="O116" s="355"/>
      <c r="P116" s="355"/>
      <c r="Q116" s="496"/>
      <c r="R116" s="196"/>
      <c r="S116" s="207"/>
      <c r="T116" s="212"/>
    </row>
    <row r="117" spans="1:20" s="335" customFormat="1" x14ac:dyDescent="0.15">
      <c r="A117" s="344"/>
      <c r="B117" s="353" t="s">
        <v>638</v>
      </c>
      <c r="C117" s="352" t="s">
        <v>305</v>
      </c>
      <c r="D117" s="335">
        <v>2</v>
      </c>
      <c r="E117" s="335">
        <v>1.1499999999999999</v>
      </c>
      <c r="G117" s="335">
        <f>1.74*25.13</f>
        <v>43.73</v>
      </c>
      <c r="H117" s="332">
        <f>+D117*E117*G117</f>
        <v>100.58</v>
      </c>
      <c r="I117" s="346">
        <f>+Stab!K56</f>
        <v>5.8</v>
      </c>
      <c r="J117" s="347">
        <f t="shared" ref="J117:J118" si="78">I117*H117</f>
        <v>583.36</v>
      </c>
      <c r="K117" s="326"/>
      <c r="L117" s="329"/>
      <c r="M117" s="196"/>
      <c r="N117" s="437"/>
      <c r="O117" s="355">
        <v>0.05</v>
      </c>
      <c r="P117" s="355"/>
      <c r="Q117" s="496">
        <v>0.95</v>
      </c>
      <c r="R117" s="196"/>
      <c r="S117" s="207">
        <f t="shared" ref="S117" si="79">SUM(M117:R117)</f>
        <v>1</v>
      </c>
      <c r="T117" s="212">
        <f t="shared" ref="T117" si="80">S117*J117</f>
        <v>583.36</v>
      </c>
    </row>
    <row r="118" spans="1:20" s="335" customFormat="1" x14ac:dyDescent="0.15">
      <c r="A118" s="344"/>
      <c r="B118" s="353" t="s">
        <v>639</v>
      </c>
      <c r="C118" s="352" t="s">
        <v>308</v>
      </c>
      <c r="D118" s="335">
        <v>2</v>
      </c>
      <c r="H118" s="332">
        <f>+D118</f>
        <v>2</v>
      </c>
      <c r="I118" s="346">
        <v>115</v>
      </c>
      <c r="J118" s="347">
        <f t="shared" si="78"/>
        <v>230</v>
      </c>
      <c r="K118" s="326"/>
      <c r="L118" s="329"/>
      <c r="M118" s="196"/>
      <c r="N118" s="437"/>
      <c r="O118" s="355">
        <v>0.05</v>
      </c>
      <c r="P118" s="355"/>
      <c r="Q118" s="479">
        <v>0.95</v>
      </c>
      <c r="R118" s="196"/>
      <c r="S118" s="207">
        <f t="shared" ref="S118:S119" si="81">SUM(M118:R118)</f>
        <v>1</v>
      </c>
      <c r="T118" s="212">
        <f t="shared" ref="T118:T119" si="82">S118*J118</f>
        <v>230</v>
      </c>
    </row>
    <row r="119" spans="1:20" s="335" customFormat="1" x14ac:dyDescent="0.15">
      <c r="A119" s="344"/>
      <c r="B119" s="353" t="s">
        <v>640</v>
      </c>
      <c r="C119" s="352" t="s">
        <v>641</v>
      </c>
      <c r="D119" s="335">
        <v>2</v>
      </c>
      <c r="E119" s="335">
        <v>2</v>
      </c>
      <c r="H119" s="332">
        <f>+D119*E119</f>
        <v>4</v>
      </c>
      <c r="I119" s="346">
        <v>195</v>
      </c>
      <c r="J119" s="347">
        <f t="shared" ref="J119" si="83">I119*H119</f>
        <v>780</v>
      </c>
      <c r="K119" s="326"/>
      <c r="L119" s="329"/>
      <c r="M119" s="196"/>
      <c r="N119" s="437"/>
      <c r="O119" s="355">
        <v>0.05</v>
      </c>
      <c r="P119" s="355"/>
      <c r="Q119" s="496">
        <v>0.95</v>
      </c>
      <c r="R119" s="196"/>
      <c r="S119" s="207">
        <f t="shared" si="81"/>
        <v>1</v>
      </c>
      <c r="T119" s="212">
        <f t="shared" si="82"/>
        <v>780</v>
      </c>
    </row>
    <row r="120" spans="1:20" s="335" customFormat="1" ht="6.75" customHeight="1" x14ac:dyDescent="0.15">
      <c r="A120" s="344"/>
      <c r="B120" s="329"/>
      <c r="C120" s="330"/>
      <c r="D120" s="331"/>
      <c r="E120" s="331"/>
      <c r="F120" s="331"/>
      <c r="G120" s="331"/>
      <c r="H120" s="332"/>
      <c r="I120" s="333"/>
      <c r="J120" s="330"/>
      <c r="K120" s="326"/>
      <c r="L120" s="329"/>
      <c r="M120" s="196"/>
      <c r="N120" s="437"/>
      <c r="O120" s="355"/>
      <c r="P120" s="355"/>
      <c r="Q120" s="496"/>
      <c r="R120" s="196"/>
      <c r="S120" s="207"/>
      <c r="T120" s="212"/>
    </row>
    <row r="121" spans="1:20" s="335" customFormat="1" x14ac:dyDescent="0.15">
      <c r="A121" s="344" t="s">
        <v>643</v>
      </c>
      <c r="B121" s="345" t="s">
        <v>667</v>
      </c>
      <c r="C121" s="328"/>
      <c r="H121" s="332"/>
      <c r="I121" s="346"/>
      <c r="J121" s="347"/>
      <c r="K121" s="326"/>
      <c r="L121" s="329"/>
      <c r="M121" s="196"/>
      <c r="N121" s="437"/>
      <c r="O121" s="355"/>
      <c r="P121" s="355"/>
      <c r="Q121" s="496"/>
      <c r="R121" s="196"/>
      <c r="S121" s="207"/>
      <c r="T121" s="212"/>
    </row>
    <row r="122" spans="1:20" s="335" customFormat="1" x14ac:dyDescent="0.15">
      <c r="A122" s="344"/>
      <c r="B122" s="353" t="s">
        <v>644</v>
      </c>
      <c r="C122" s="352" t="s">
        <v>308</v>
      </c>
      <c r="D122" s="335">
        <v>6</v>
      </c>
      <c r="H122" s="332">
        <f>+D122</f>
        <v>6</v>
      </c>
      <c r="I122" s="346">
        <v>125</v>
      </c>
      <c r="J122" s="347">
        <f t="shared" ref="J122" si="84">I122*H122</f>
        <v>750</v>
      </c>
      <c r="K122" s="326"/>
      <c r="L122" s="329"/>
      <c r="M122" s="196"/>
      <c r="N122" s="437"/>
      <c r="O122" s="355">
        <v>0.05</v>
      </c>
      <c r="P122" s="355"/>
      <c r="Q122" s="496">
        <v>0.95</v>
      </c>
      <c r="R122" s="196"/>
      <c r="S122" s="207">
        <f t="shared" ref="S122" si="85">SUM(M122:R122)</f>
        <v>1</v>
      </c>
      <c r="T122" s="212">
        <f t="shared" ref="T122" si="86">S122*J122</f>
        <v>750</v>
      </c>
    </row>
    <row r="123" spans="1:20" s="335" customFormat="1" ht="6.75" customHeight="1" x14ac:dyDescent="0.15">
      <c r="A123" s="344"/>
      <c r="B123" s="329"/>
      <c r="C123" s="330"/>
      <c r="D123" s="331"/>
      <c r="E123" s="331"/>
      <c r="F123" s="331"/>
      <c r="G123" s="331"/>
      <c r="H123" s="332"/>
      <c r="I123" s="333"/>
      <c r="J123" s="330"/>
      <c r="K123" s="326"/>
      <c r="L123" s="329"/>
      <c r="M123" s="196"/>
      <c r="N123" s="437"/>
      <c r="O123" s="355"/>
      <c r="P123" s="355"/>
      <c r="Q123" s="496"/>
      <c r="R123" s="196"/>
      <c r="S123" s="207"/>
      <c r="T123" s="212"/>
    </row>
    <row r="124" spans="1:20" s="335" customFormat="1" x14ac:dyDescent="0.15">
      <c r="A124" s="344" t="s">
        <v>651</v>
      </c>
      <c r="B124" s="345" t="s">
        <v>652</v>
      </c>
      <c r="C124" s="328"/>
      <c r="H124" s="332"/>
      <c r="I124" s="346"/>
      <c r="J124" s="347"/>
      <c r="K124" s="326"/>
      <c r="L124" s="329"/>
      <c r="M124" s="196"/>
      <c r="N124" s="437"/>
      <c r="O124" s="355"/>
      <c r="P124" s="355"/>
      <c r="Q124" s="496"/>
      <c r="R124" s="196"/>
      <c r="S124" s="207"/>
      <c r="T124" s="212"/>
    </row>
    <row r="125" spans="1:20" s="335" customFormat="1" x14ac:dyDescent="0.15">
      <c r="A125" s="344"/>
      <c r="B125" s="353" t="s">
        <v>653</v>
      </c>
      <c r="C125" s="352" t="s">
        <v>308</v>
      </c>
      <c r="D125" s="335">
        <v>1</v>
      </c>
      <c r="H125" s="332">
        <f>+D125</f>
        <v>1</v>
      </c>
      <c r="I125" s="346">
        <v>395</v>
      </c>
      <c r="J125" s="347">
        <f t="shared" ref="J125:J127" si="87">I125*H125</f>
        <v>395</v>
      </c>
      <c r="K125" s="326"/>
      <c r="L125" s="329"/>
      <c r="M125" s="196"/>
      <c r="N125" s="437"/>
      <c r="O125" s="355">
        <v>1</v>
      </c>
      <c r="P125" s="355"/>
      <c r="Q125" s="496"/>
      <c r="R125" s="196"/>
      <c r="S125" s="207">
        <f t="shared" ref="S125:S126" si="88">SUM(M125:R125)</f>
        <v>1</v>
      </c>
      <c r="T125" s="212">
        <f t="shared" ref="T125:T126" si="89">S125*J125</f>
        <v>395</v>
      </c>
    </row>
    <row r="126" spans="1:20" s="335" customFormat="1" ht="16" x14ac:dyDescent="0.15">
      <c r="A126" s="344"/>
      <c r="B126" s="353" t="s">
        <v>649</v>
      </c>
      <c r="C126" s="352" t="s">
        <v>308</v>
      </c>
      <c r="D126" s="335">
        <v>1</v>
      </c>
      <c r="H126" s="515">
        <v>0</v>
      </c>
      <c r="I126" s="346">
        <v>315</v>
      </c>
      <c r="J126" s="347">
        <f t="shared" si="87"/>
        <v>0</v>
      </c>
      <c r="K126" s="556" t="s">
        <v>845</v>
      </c>
      <c r="L126" s="329"/>
      <c r="M126" s="196"/>
      <c r="N126" s="437"/>
      <c r="O126" s="355">
        <v>0.05</v>
      </c>
      <c r="P126" s="355"/>
      <c r="Q126" s="479">
        <v>0.95</v>
      </c>
      <c r="R126" s="196"/>
      <c r="S126" s="207">
        <f t="shared" si="88"/>
        <v>1</v>
      </c>
      <c r="T126" s="212">
        <f t="shared" si="89"/>
        <v>0</v>
      </c>
    </row>
    <row r="127" spans="1:20" s="335" customFormat="1" x14ac:dyDescent="0.15">
      <c r="A127" s="344"/>
      <c r="B127" s="353" t="s">
        <v>650</v>
      </c>
      <c r="C127" s="352" t="s">
        <v>307</v>
      </c>
      <c r="D127" s="335">
        <v>11</v>
      </c>
      <c r="E127" s="335">
        <v>5</v>
      </c>
      <c r="H127" s="332">
        <f>+D127*E127</f>
        <v>55</v>
      </c>
      <c r="I127" s="346">
        <v>7.63</v>
      </c>
      <c r="J127" s="347">
        <f t="shared" si="87"/>
        <v>419.65</v>
      </c>
      <c r="K127" s="326"/>
      <c r="L127" s="329"/>
      <c r="M127" s="196"/>
      <c r="N127" s="437"/>
      <c r="O127" s="355">
        <v>1</v>
      </c>
      <c r="P127" s="355"/>
      <c r="Q127" s="496"/>
      <c r="R127" s="196"/>
      <c r="S127" s="207">
        <f t="shared" ref="S127" si="90">SUM(M127:R127)</f>
        <v>1</v>
      </c>
      <c r="T127" s="212">
        <f t="shared" ref="T127" si="91">S127*J127</f>
        <v>419.65</v>
      </c>
    </row>
    <row r="128" spans="1:20" s="335" customFormat="1" ht="6.75" customHeight="1" x14ac:dyDescent="0.15">
      <c r="A128" s="344"/>
      <c r="B128" s="329"/>
      <c r="C128" s="330"/>
      <c r="D128" s="331"/>
      <c r="E128" s="331"/>
      <c r="F128" s="331"/>
      <c r="G128" s="331"/>
      <c r="H128" s="332"/>
      <c r="I128" s="333"/>
      <c r="J128" s="330"/>
      <c r="K128" s="326"/>
      <c r="L128" s="329"/>
      <c r="M128" s="196"/>
      <c r="N128" s="437"/>
      <c r="O128" s="355"/>
      <c r="P128" s="355"/>
      <c r="Q128" s="496"/>
      <c r="R128" s="196"/>
      <c r="S128" s="207"/>
      <c r="T128" s="189"/>
    </row>
    <row r="129" spans="1:20" x14ac:dyDescent="0.15">
      <c r="A129" s="344" t="s">
        <v>654</v>
      </c>
      <c r="B129" s="345" t="s">
        <v>655</v>
      </c>
      <c r="C129" s="328"/>
      <c r="D129" s="335"/>
      <c r="E129" s="335"/>
      <c r="F129" s="335"/>
      <c r="G129" s="335"/>
      <c r="I129" s="346"/>
      <c r="J129" s="347"/>
      <c r="K129" s="326"/>
      <c r="M129" s="196"/>
      <c r="N129" s="437"/>
      <c r="O129" s="355"/>
      <c r="P129" s="355"/>
      <c r="Q129" s="496"/>
      <c r="R129" s="196"/>
      <c r="S129" s="207"/>
      <c r="T129" s="212"/>
    </row>
    <row r="130" spans="1:20" s="335" customFormat="1" ht="16" x14ac:dyDescent="0.15">
      <c r="B130" s="353" t="s">
        <v>656</v>
      </c>
      <c r="C130" s="352" t="s">
        <v>308</v>
      </c>
      <c r="H130" s="332">
        <v>4</v>
      </c>
      <c r="I130" s="346">
        <v>1542.75</v>
      </c>
      <c r="J130" s="360" t="s">
        <v>309</v>
      </c>
      <c r="K130" s="327" t="s">
        <v>663</v>
      </c>
      <c r="L130" s="329"/>
      <c r="M130" s="196"/>
      <c r="N130" s="437"/>
      <c r="O130" s="355"/>
      <c r="P130" s="355"/>
      <c r="Q130" s="496"/>
      <c r="R130" s="196"/>
      <c r="S130" s="207"/>
      <c r="T130" s="212"/>
    </row>
    <row r="131" spans="1:20" s="335" customFormat="1" ht="6.75" customHeight="1" x14ac:dyDescent="0.15">
      <c r="A131" s="328"/>
      <c r="B131" s="329"/>
      <c r="C131" s="330"/>
      <c r="H131" s="332"/>
      <c r="I131" s="333"/>
      <c r="J131" s="330"/>
      <c r="K131" s="326"/>
      <c r="L131" s="329"/>
      <c r="M131" s="362"/>
      <c r="N131" s="354"/>
      <c r="O131" s="354"/>
      <c r="P131" s="354"/>
      <c r="Q131" s="363"/>
      <c r="R131" s="362"/>
      <c r="S131" s="362"/>
      <c r="T131" s="362"/>
    </row>
    <row r="132" spans="1:20" x14ac:dyDescent="0.15">
      <c r="A132" s="336" t="s">
        <v>678</v>
      </c>
      <c r="B132" s="337" t="s">
        <v>577</v>
      </c>
      <c r="C132" s="337"/>
      <c r="D132" s="338"/>
      <c r="E132" s="338"/>
      <c r="F132" s="338"/>
      <c r="G132" s="338"/>
      <c r="H132" s="339"/>
      <c r="I132" s="340"/>
      <c r="J132" s="337"/>
      <c r="K132" s="341">
        <f>SUM(J133:J139)</f>
        <v>0</v>
      </c>
      <c r="M132" s="350"/>
      <c r="N132" s="438"/>
      <c r="O132" s="437"/>
      <c r="P132" s="437"/>
      <c r="Q132" s="489"/>
      <c r="R132" s="350"/>
      <c r="S132" s="207"/>
      <c r="T132" s="249"/>
    </row>
    <row r="133" spans="1:20" ht="6.75" customHeight="1" x14ac:dyDescent="0.15">
      <c r="K133" s="326"/>
      <c r="M133" s="196"/>
      <c r="N133" s="438"/>
      <c r="O133" s="355"/>
      <c r="P133" s="355"/>
      <c r="Q133" s="496"/>
      <c r="R133" s="196"/>
      <c r="S133" s="207"/>
      <c r="T133" s="189"/>
    </row>
    <row r="134" spans="1:20" x14ac:dyDescent="0.15">
      <c r="A134" s="344" t="s">
        <v>679</v>
      </c>
      <c r="B134" s="345" t="s">
        <v>664</v>
      </c>
      <c r="C134" s="328"/>
      <c r="D134" s="335"/>
      <c r="E134" s="335"/>
      <c r="F134" s="335"/>
      <c r="G134" s="335"/>
      <c r="I134" s="346"/>
      <c r="J134" s="347"/>
      <c r="K134" s="326"/>
      <c r="M134" s="350"/>
      <c r="N134" s="438"/>
      <c r="O134" s="437"/>
      <c r="P134" s="437"/>
      <c r="Q134" s="489"/>
      <c r="R134" s="350"/>
      <c r="S134" s="207"/>
      <c r="T134" s="249"/>
    </row>
    <row r="135" spans="1:20" x14ac:dyDescent="0.15">
      <c r="A135" s="344" t="s">
        <v>680</v>
      </c>
      <c r="B135" s="370" t="s">
        <v>683</v>
      </c>
      <c r="C135" s="371" t="s">
        <v>684</v>
      </c>
      <c r="D135" s="335">
        <v>30</v>
      </c>
      <c r="E135" s="335"/>
      <c r="F135" s="335"/>
      <c r="G135" s="335"/>
      <c r="H135" s="332">
        <v>30</v>
      </c>
      <c r="I135" s="346">
        <v>50</v>
      </c>
      <c r="J135" s="372" t="s">
        <v>685</v>
      </c>
      <c r="K135" s="326"/>
      <c r="M135" s="350"/>
      <c r="N135" s="438"/>
      <c r="O135" s="437"/>
      <c r="P135" s="437"/>
      <c r="Q135" s="489"/>
      <c r="R135" s="350"/>
      <c r="S135" s="207"/>
      <c r="T135" s="249"/>
    </row>
    <row r="136" spans="1:20" x14ac:dyDescent="0.15">
      <c r="A136" s="344" t="s">
        <v>681</v>
      </c>
      <c r="B136" s="370" t="s">
        <v>676</v>
      </c>
      <c r="C136" s="371" t="s">
        <v>375</v>
      </c>
      <c r="D136" s="335">
        <v>1</v>
      </c>
      <c r="E136" s="335"/>
      <c r="F136" s="335"/>
      <c r="G136" s="335"/>
      <c r="H136" s="332">
        <v>1</v>
      </c>
      <c r="I136" s="346">
        <v>432</v>
      </c>
      <c r="J136" s="372" t="s">
        <v>685</v>
      </c>
      <c r="K136" s="326"/>
      <c r="M136" s="350"/>
      <c r="N136" s="438"/>
      <c r="O136" s="437"/>
      <c r="P136" s="437"/>
      <c r="Q136" s="489"/>
      <c r="R136" s="350"/>
      <c r="S136" s="207"/>
      <c r="T136" s="249"/>
    </row>
    <row r="137" spans="1:20" x14ac:dyDescent="0.15">
      <c r="A137" s="344" t="s">
        <v>682</v>
      </c>
      <c r="B137" s="370" t="s">
        <v>677</v>
      </c>
      <c r="C137" s="371" t="s">
        <v>375</v>
      </c>
      <c r="D137" s="335">
        <v>1</v>
      </c>
      <c r="E137" s="335"/>
      <c r="F137" s="335"/>
      <c r="G137" s="335"/>
      <c r="H137" s="332">
        <v>1</v>
      </c>
      <c r="I137" s="346">
        <v>67.2</v>
      </c>
      <c r="J137" s="372" t="s">
        <v>685</v>
      </c>
      <c r="K137" s="326"/>
      <c r="M137" s="350"/>
      <c r="N137" s="438"/>
      <c r="O137" s="437"/>
      <c r="P137" s="437"/>
      <c r="Q137" s="489"/>
      <c r="R137" s="350"/>
      <c r="S137" s="207"/>
      <c r="T137" s="249"/>
    </row>
    <row r="138" spans="1:20" s="335" customFormat="1" x14ac:dyDescent="0.15">
      <c r="A138" s="344"/>
      <c r="B138" s="329"/>
      <c r="C138" s="328"/>
      <c r="H138" s="332"/>
      <c r="I138" s="346"/>
      <c r="J138" s="347"/>
      <c r="K138" s="326"/>
      <c r="L138" s="329"/>
      <c r="M138" s="361"/>
      <c r="N138" s="480"/>
      <c r="O138" s="481"/>
      <c r="P138" s="481"/>
      <c r="Q138" s="511"/>
      <c r="R138" s="361"/>
      <c r="S138" s="211"/>
      <c r="T138" s="228"/>
    </row>
    <row r="139" spans="1:20" s="335" customFormat="1" ht="6.75" customHeight="1" x14ac:dyDescent="0.15">
      <c r="A139" s="328"/>
      <c r="B139" s="329"/>
      <c r="C139" s="330"/>
      <c r="H139" s="332"/>
      <c r="I139" s="333"/>
      <c r="J139" s="330"/>
      <c r="K139" s="326"/>
      <c r="L139" s="329"/>
      <c r="M139" s="362"/>
      <c r="N139" s="354"/>
      <c r="O139" s="354"/>
      <c r="P139" s="354"/>
      <c r="Q139" s="509"/>
      <c r="R139" s="362"/>
      <c r="S139" s="362"/>
      <c r="T139" s="362"/>
    </row>
    <row r="140" spans="1:20" s="335" customFormat="1" x14ac:dyDescent="0.15">
      <c r="A140" s="328"/>
      <c r="B140" s="364"/>
      <c r="C140" s="365"/>
      <c r="H140" s="366"/>
      <c r="I140" s="346"/>
      <c r="J140" s="347"/>
      <c r="K140" s="334"/>
      <c r="L140" s="329"/>
      <c r="M140" s="362"/>
      <c r="N140" s="354"/>
      <c r="O140" s="354"/>
      <c r="P140" s="354"/>
      <c r="Q140" s="509"/>
      <c r="R140" s="362"/>
    </row>
    <row r="141" spans="1:20" s="335" customFormat="1" ht="6.75" customHeight="1" thickBot="1" x14ac:dyDescent="0.2">
      <c r="A141" s="328"/>
      <c r="B141" s="329"/>
      <c r="C141" s="330"/>
      <c r="H141" s="332"/>
      <c r="I141" s="333"/>
      <c r="J141" s="330"/>
      <c r="K141" s="326"/>
      <c r="L141" s="329"/>
      <c r="N141" s="329"/>
      <c r="O141" s="374"/>
      <c r="P141" s="374"/>
      <c r="Q141" s="507"/>
      <c r="R141" s="329"/>
      <c r="S141" s="329"/>
    </row>
    <row r="142" spans="1:20" s="335" customFormat="1" ht="16" thickBot="1" x14ac:dyDescent="0.2">
      <c r="A142" s="328"/>
      <c r="B142" s="329"/>
      <c r="C142" s="330"/>
      <c r="D142" s="331"/>
      <c r="E142" s="331"/>
      <c r="F142" s="331"/>
      <c r="G142" s="595" t="s">
        <v>569</v>
      </c>
      <c r="H142" s="596"/>
      <c r="I142" s="597"/>
      <c r="J142" s="367">
        <f>SUM(J5:J140)</f>
        <v>-5027.37</v>
      </c>
      <c r="K142" s="334"/>
      <c r="L142" s="329"/>
      <c r="O142" s="376"/>
      <c r="P142" s="376"/>
      <c r="S142" s="368"/>
      <c r="T142" s="369">
        <f>SUM(T1:T139)</f>
        <v>-5027.37</v>
      </c>
    </row>
    <row r="143" spans="1:20" ht="16" thickBot="1" x14ac:dyDescent="0.2">
      <c r="G143" s="598" t="s">
        <v>570</v>
      </c>
      <c r="H143" s="599"/>
      <c r="I143" s="600"/>
      <c r="J143" s="367">
        <v>0</v>
      </c>
      <c r="M143" s="329"/>
    </row>
    <row r="144" spans="1:20" ht="16" thickBot="1" x14ac:dyDescent="0.2">
      <c r="G144" s="601" t="s">
        <v>569</v>
      </c>
      <c r="H144" s="602"/>
      <c r="I144" s="603"/>
      <c r="J144" s="367">
        <f>J143+J142</f>
        <v>-5027.37</v>
      </c>
      <c r="M144" s="329"/>
    </row>
    <row r="145" spans="2:21" s="328" customFormat="1" ht="6.75" customHeight="1" x14ac:dyDescent="0.15">
      <c r="B145" s="329"/>
      <c r="C145" s="330"/>
      <c r="D145" s="331"/>
      <c r="E145" s="331"/>
      <c r="F145" s="331"/>
      <c r="G145" s="331"/>
      <c r="H145" s="332"/>
      <c r="I145" s="333"/>
      <c r="J145" s="330"/>
      <c r="K145" s="334"/>
      <c r="L145" s="329"/>
      <c r="M145" s="335"/>
      <c r="N145" s="329"/>
      <c r="O145" s="374"/>
      <c r="P145" s="374"/>
      <c r="Q145" s="507"/>
      <c r="R145" s="329"/>
      <c r="S145" s="329"/>
      <c r="T145" s="329"/>
      <c r="U145" s="329"/>
    </row>
    <row r="150" spans="2:21" s="328" customFormat="1" ht="6.75" customHeight="1" x14ac:dyDescent="0.15">
      <c r="B150" s="329"/>
      <c r="C150" s="330"/>
      <c r="D150" s="331"/>
      <c r="E150" s="331"/>
      <c r="F150" s="331"/>
      <c r="G150" s="331"/>
      <c r="H150" s="332"/>
      <c r="I150" s="333"/>
      <c r="J150" s="330"/>
      <c r="K150" s="334"/>
      <c r="L150" s="329"/>
      <c r="M150" s="335"/>
      <c r="N150" s="329"/>
      <c r="O150" s="374"/>
      <c r="P150" s="374"/>
      <c r="Q150" s="507"/>
      <c r="R150" s="329"/>
      <c r="S150" s="329"/>
      <c r="T150" s="329"/>
      <c r="U150" s="329"/>
    </row>
  </sheetData>
  <mergeCells count="3">
    <mergeCell ref="G142:I142"/>
    <mergeCell ref="G143:I143"/>
    <mergeCell ref="G144:I144"/>
  </mergeCells>
  <phoneticPr fontId="7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B247-70BF-4C88-B883-6D1D7F93403A}">
  <dimension ref="A1:U44"/>
  <sheetViews>
    <sheetView zoomScaleNormal="100" workbookViewId="0">
      <selection activeCell="Q47" sqref="Q47"/>
    </sheetView>
  </sheetViews>
  <sheetFormatPr baseColWidth="10" defaultColWidth="9.1640625" defaultRowHeight="15" outlineLevelCol="2" x14ac:dyDescent="0.15"/>
  <cols>
    <col min="1" max="1" width="9.1640625" style="389"/>
    <col min="2" max="2" width="102" style="390" customWidth="1"/>
    <col min="3" max="3" width="9.1640625" style="391"/>
    <col min="4" max="4" width="7.1640625" style="392" customWidth="1" outlineLevel="2"/>
    <col min="5" max="5" width="7.1640625" style="392" bestFit="1" customWidth="1" outlineLevel="2"/>
    <col min="6" max="6" width="6.1640625" style="392" customWidth="1" outlineLevel="2"/>
    <col min="7" max="7" width="7.1640625" style="392" bestFit="1" customWidth="1" outlineLevel="2"/>
    <col min="8" max="8" width="9.1640625" style="393"/>
    <col min="9" max="9" width="12.5" style="394" bestFit="1" customWidth="1"/>
    <col min="10" max="10" width="13" style="391" bestFit="1" customWidth="1"/>
    <col min="11" max="11" width="31.1640625" style="395" bestFit="1" customWidth="1"/>
    <col min="12" max="12" width="9.1640625" style="390"/>
    <col min="13" max="13" width="5.5" style="396" bestFit="1" customWidth="1"/>
    <col min="14" max="14" width="7.5" style="390" bestFit="1" customWidth="1"/>
    <col min="15" max="15" width="7.6640625" style="390" bestFit="1" customWidth="1"/>
    <col min="16" max="16" width="8" style="500" bestFit="1" customWidth="1"/>
    <col min="17" max="17" width="7.5" style="390" bestFit="1" customWidth="1"/>
    <col min="18" max="18" width="6" style="390" bestFit="1" customWidth="1"/>
    <col min="19" max="19" width="8.1640625" style="390" bestFit="1" customWidth="1"/>
    <col min="20" max="20" width="12.6640625" style="390" bestFit="1" customWidth="1"/>
    <col min="21" max="16384" width="9.1640625" style="390"/>
  </cols>
  <sheetData>
    <row r="1" spans="1:20" ht="6.75" customHeight="1" thickBot="1" x14ac:dyDescent="0.2"/>
    <row r="2" spans="1:20" ht="16" thickBot="1" x14ac:dyDescent="0.2">
      <c r="A2" s="397" t="s">
        <v>565</v>
      </c>
      <c r="B2" s="398" t="s">
        <v>717</v>
      </c>
      <c r="C2" s="398"/>
      <c r="D2" s="399"/>
      <c r="E2" s="399"/>
      <c r="F2" s="399"/>
      <c r="G2" s="399"/>
      <c r="H2" s="400"/>
      <c r="I2" s="401"/>
      <c r="J2" s="398"/>
      <c r="K2" s="402">
        <f>SUM(J3:J21)</f>
        <v>8844.07</v>
      </c>
      <c r="M2" s="403" t="s">
        <v>511</v>
      </c>
      <c r="N2" s="482" t="s">
        <v>512</v>
      </c>
      <c r="O2" s="404" t="s">
        <v>513</v>
      </c>
      <c r="P2" s="501" t="s">
        <v>514</v>
      </c>
      <c r="Q2" s="512" t="s">
        <v>515</v>
      </c>
      <c r="R2" s="403" t="s">
        <v>516</v>
      </c>
      <c r="S2" s="403" t="s">
        <v>509</v>
      </c>
      <c r="T2" s="343" t="s">
        <v>510</v>
      </c>
    </row>
    <row r="3" spans="1:20" ht="6.75" customHeight="1" x14ac:dyDescent="0.15">
      <c r="K3" s="405"/>
      <c r="M3" s="406"/>
      <c r="N3" s="407"/>
      <c r="O3" s="408"/>
      <c r="P3" s="414"/>
      <c r="Q3" s="407"/>
      <c r="R3" s="406"/>
      <c r="S3" s="409"/>
      <c r="T3" s="189"/>
    </row>
    <row r="4" spans="1:20" x14ac:dyDescent="0.15">
      <c r="A4" s="410" t="str">
        <f>+'[2] - état 30 - Février  06  '!A163</f>
        <v>1.23.1</v>
      </c>
      <c r="B4" s="411" t="str">
        <f>+'[2] - état 30 - Février  06  '!B163</f>
        <v>Maçonnerie portante et non portante bloc béton 14 cm</v>
      </c>
      <c r="C4" s="389"/>
      <c r="D4" s="396"/>
      <c r="E4" s="396"/>
      <c r="F4" s="396"/>
      <c r="G4" s="396"/>
      <c r="I4" s="412"/>
      <c r="J4" s="413"/>
      <c r="K4" s="405"/>
      <c r="M4" s="406"/>
      <c r="N4" s="414"/>
      <c r="O4" s="408"/>
      <c r="P4" s="414"/>
      <c r="Q4" s="407"/>
      <c r="R4" s="406"/>
      <c r="S4" s="409"/>
      <c r="T4" s="189"/>
    </row>
    <row r="5" spans="1:20" x14ac:dyDescent="0.15">
      <c r="A5" s="410"/>
      <c r="B5" s="390" t="s">
        <v>718</v>
      </c>
      <c r="C5" s="389" t="s">
        <v>20</v>
      </c>
      <c r="D5" s="396">
        <v>1</v>
      </c>
      <c r="E5" s="396">
        <v>63.69</v>
      </c>
      <c r="F5" s="396">
        <v>0.14000000000000001</v>
      </c>
      <c r="G5" s="396">
        <v>1</v>
      </c>
      <c r="H5" s="393">
        <f>SUM(D5*E5*F5*G5)</f>
        <v>8.92</v>
      </c>
      <c r="I5" s="412">
        <f>+'[2] - état 30 - Février  06  '!K163</f>
        <v>545</v>
      </c>
      <c r="J5" s="413">
        <f>I5*H5</f>
        <v>4861.3999999999996</v>
      </c>
      <c r="K5" s="405"/>
      <c r="M5" s="406"/>
      <c r="N5" s="407"/>
      <c r="O5" s="408"/>
      <c r="P5" s="414">
        <v>1</v>
      </c>
      <c r="Q5" s="407"/>
      <c r="R5" s="406"/>
      <c r="S5" s="409">
        <f>SUM(M5:R5)</f>
        <v>1</v>
      </c>
      <c r="T5" s="415">
        <f>S5*J5</f>
        <v>4861.3999999999996</v>
      </c>
    </row>
    <row r="6" spans="1:20" ht="6.75" customHeight="1" x14ac:dyDescent="0.15">
      <c r="A6" s="410"/>
      <c r="K6" s="405"/>
      <c r="M6" s="406"/>
      <c r="N6" s="414"/>
      <c r="O6" s="408"/>
      <c r="P6" s="414"/>
      <c r="Q6" s="407"/>
      <c r="R6" s="406"/>
      <c r="S6" s="409"/>
      <c r="T6" s="415"/>
    </row>
    <row r="7" spans="1:20" x14ac:dyDescent="0.15">
      <c r="A7" s="410" t="s">
        <v>603</v>
      </c>
      <c r="B7" s="411" t="s">
        <v>719</v>
      </c>
      <c r="C7" s="389"/>
      <c r="D7" s="396"/>
      <c r="E7" s="396"/>
      <c r="F7" s="396"/>
      <c r="G7" s="396"/>
      <c r="I7" s="412"/>
      <c r="J7" s="413"/>
      <c r="K7" s="405"/>
      <c r="M7" s="406"/>
      <c r="N7" s="407"/>
      <c r="O7" s="408"/>
      <c r="P7" s="414"/>
      <c r="Q7" s="407"/>
      <c r="R7" s="406"/>
      <c r="S7" s="409"/>
      <c r="T7" s="415"/>
    </row>
    <row r="8" spans="1:20" x14ac:dyDescent="0.15">
      <c r="A8" s="410"/>
      <c r="B8" s="411" t="s">
        <v>720</v>
      </c>
      <c r="C8" s="389"/>
      <c r="D8" s="396"/>
      <c r="E8" s="396"/>
      <c r="F8" s="396"/>
      <c r="G8" s="396"/>
      <c r="I8" s="412"/>
      <c r="J8" s="413"/>
      <c r="K8" s="405"/>
      <c r="M8" s="406"/>
      <c r="N8" s="407"/>
      <c r="O8" s="408"/>
      <c r="P8" s="414"/>
      <c r="Q8" s="407"/>
      <c r="R8" s="406"/>
      <c r="S8" s="409"/>
      <c r="T8" s="415"/>
    </row>
    <row r="9" spans="1:20" x14ac:dyDescent="0.15">
      <c r="A9" s="410"/>
      <c r="B9" s="390" t="s">
        <v>580</v>
      </c>
      <c r="C9" s="389" t="s">
        <v>304</v>
      </c>
      <c r="D9" s="396">
        <v>3</v>
      </c>
      <c r="E9" s="396">
        <v>0.14000000000000001</v>
      </c>
      <c r="F9" s="396">
        <v>0.3</v>
      </c>
      <c r="G9" s="396">
        <v>2.79</v>
      </c>
      <c r="H9" s="393">
        <f t="shared" ref="H9:H11" si="0">SUM(D9*E9*F9*G9)</f>
        <v>0.35</v>
      </c>
      <c r="I9" s="412">
        <f>+[2]Stab!$K$175</f>
        <v>695</v>
      </c>
      <c r="J9" s="413">
        <f t="shared" ref="J9:J11" si="1">I9*H9</f>
        <v>243.25</v>
      </c>
      <c r="K9" s="405"/>
      <c r="M9" s="416"/>
      <c r="N9" s="414"/>
      <c r="O9" s="408"/>
      <c r="P9" s="414">
        <v>1</v>
      </c>
      <c r="Q9" s="407"/>
      <c r="R9" s="406"/>
      <c r="S9" s="409">
        <f t="shared" ref="S9:S11" si="2">SUM(M9:R9)</f>
        <v>1</v>
      </c>
      <c r="T9" s="415">
        <f t="shared" ref="T9:T11" si="3">S9*J9</f>
        <v>243.25</v>
      </c>
    </row>
    <row r="10" spans="1:20" x14ac:dyDescent="0.15">
      <c r="A10" s="410"/>
      <c r="B10" s="390" t="s">
        <v>581</v>
      </c>
      <c r="C10" s="389" t="s">
        <v>297</v>
      </c>
      <c r="D10" s="396">
        <v>3</v>
      </c>
      <c r="E10" s="396">
        <v>0.14000000000000001</v>
      </c>
      <c r="F10" s="396">
        <v>0.3</v>
      </c>
      <c r="G10" s="396">
        <v>2.79</v>
      </c>
      <c r="H10" s="393">
        <f>+D10*G10*(2*E10+2*F10)</f>
        <v>7.37</v>
      </c>
      <c r="I10" s="412">
        <f>+[2]Stab!$K$179</f>
        <v>115.17</v>
      </c>
      <c r="J10" s="413">
        <f t="shared" si="1"/>
        <v>848.8</v>
      </c>
      <c r="K10" s="405"/>
      <c r="M10" s="406"/>
      <c r="N10" s="414"/>
      <c r="O10" s="408"/>
      <c r="P10" s="414">
        <v>1</v>
      </c>
      <c r="Q10" s="407"/>
      <c r="R10" s="406"/>
      <c r="S10" s="409">
        <f t="shared" ref="S10" si="4">SUM(M10:R10)</f>
        <v>1</v>
      </c>
      <c r="T10" s="415">
        <f t="shared" ref="T10" si="5">S10*J10</f>
        <v>848.8</v>
      </c>
    </row>
    <row r="11" spans="1:20" x14ac:dyDescent="0.15">
      <c r="A11" s="410"/>
      <c r="B11" s="390" t="s">
        <v>582</v>
      </c>
      <c r="C11" s="389" t="s">
        <v>305</v>
      </c>
      <c r="D11" s="396">
        <v>3</v>
      </c>
      <c r="E11" s="396">
        <v>1</v>
      </c>
      <c r="F11" s="396">
        <v>1</v>
      </c>
      <c r="G11" s="396">
        <v>37.67</v>
      </c>
      <c r="H11" s="393">
        <f t="shared" si="0"/>
        <v>113.01</v>
      </c>
      <c r="I11" s="412">
        <f>+[2]Stab!$K$183</f>
        <v>4.8499999999999996</v>
      </c>
      <c r="J11" s="413">
        <f t="shared" si="1"/>
        <v>548.1</v>
      </c>
      <c r="K11" s="405"/>
      <c r="M11" s="406"/>
      <c r="N11" s="414"/>
      <c r="O11" s="408"/>
      <c r="P11" s="414">
        <v>1</v>
      </c>
      <c r="Q11" s="407"/>
      <c r="R11" s="406"/>
      <c r="S11" s="409">
        <f t="shared" si="2"/>
        <v>1</v>
      </c>
      <c r="T11" s="415">
        <f t="shared" si="3"/>
        <v>548.1</v>
      </c>
    </row>
    <row r="12" spans="1:20" x14ac:dyDescent="0.15">
      <c r="A12" s="410"/>
      <c r="B12" s="411" t="s">
        <v>721</v>
      </c>
      <c r="C12" s="389"/>
      <c r="D12" s="396"/>
      <c r="E12" s="396"/>
      <c r="F12" s="396"/>
      <c r="G12" s="396"/>
      <c r="I12" s="412"/>
      <c r="J12" s="413"/>
      <c r="K12" s="405"/>
      <c r="M12" s="406"/>
      <c r="N12" s="407"/>
      <c r="O12" s="408"/>
      <c r="P12" s="414"/>
      <c r="Q12" s="407"/>
      <c r="R12" s="406"/>
      <c r="S12" s="409"/>
      <c r="T12" s="415"/>
    </row>
    <row r="13" spans="1:20" x14ac:dyDescent="0.15">
      <c r="A13" s="410"/>
      <c r="B13" s="390" t="s">
        <v>580</v>
      </c>
      <c r="C13" s="389" t="s">
        <v>304</v>
      </c>
      <c r="D13" s="396">
        <v>2</v>
      </c>
      <c r="E13" s="396">
        <v>0.14000000000000001</v>
      </c>
      <c r="F13" s="396">
        <v>0.3</v>
      </c>
      <c r="G13" s="396">
        <v>0.71</v>
      </c>
      <c r="H13" s="393">
        <f t="shared" ref="H13:H15" si="6">SUM(D13*E13*F13*G13)</f>
        <v>0.06</v>
      </c>
      <c r="I13" s="412">
        <f>+[2]Stab!$K$175</f>
        <v>695</v>
      </c>
      <c r="J13" s="413">
        <f t="shared" ref="J13:J15" si="7">I13*H13</f>
        <v>41.7</v>
      </c>
      <c r="K13" s="405"/>
      <c r="M13" s="416"/>
      <c r="N13" s="414"/>
      <c r="O13" s="408"/>
      <c r="P13" s="414">
        <v>1</v>
      </c>
      <c r="Q13" s="407"/>
      <c r="R13" s="406"/>
      <c r="S13" s="409">
        <f t="shared" ref="S13:S14" si="8">SUM(M13:R13)</f>
        <v>1</v>
      </c>
      <c r="T13" s="415">
        <f t="shared" ref="T13:T14" si="9">S13*J13</f>
        <v>41.7</v>
      </c>
    </row>
    <row r="14" spans="1:20" x14ac:dyDescent="0.15">
      <c r="A14" s="410"/>
      <c r="B14" s="390" t="s">
        <v>581</v>
      </c>
      <c r="C14" s="389" t="s">
        <v>297</v>
      </c>
      <c r="D14" s="396">
        <v>2</v>
      </c>
      <c r="E14" s="396">
        <v>0.14000000000000001</v>
      </c>
      <c r="F14" s="396">
        <v>0.3</v>
      </c>
      <c r="G14" s="396">
        <v>0.71</v>
      </c>
      <c r="H14" s="393">
        <f>+D14*G14*(2*E14+2*F14)</f>
        <v>1.25</v>
      </c>
      <c r="I14" s="412">
        <f>+[2]Stab!$K$179</f>
        <v>115.17</v>
      </c>
      <c r="J14" s="413">
        <f t="shared" si="7"/>
        <v>143.96</v>
      </c>
      <c r="K14" s="405"/>
      <c r="M14" s="406"/>
      <c r="N14" s="414"/>
      <c r="O14" s="408"/>
      <c r="P14" s="414"/>
      <c r="Q14" s="407">
        <v>1</v>
      </c>
      <c r="R14" s="406"/>
      <c r="S14" s="409">
        <f t="shared" si="8"/>
        <v>1</v>
      </c>
      <c r="T14" s="415">
        <f t="shared" si="9"/>
        <v>143.96</v>
      </c>
    </row>
    <row r="15" spans="1:20" x14ac:dyDescent="0.15">
      <c r="A15" s="410"/>
      <c r="B15" s="390" t="s">
        <v>582</v>
      </c>
      <c r="C15" s="389" t="s">
        <v>305</v>
      </c>
      <c r="D15" s="396">
        <v>2</v>
      </c>
      <c r="E15" s="396">
        <v>1</v>
      </c>
      <c r="F15" s="396">
        <v>1</v>
      </c>
      <c r="G15" s="396">
        <f>12.8/2</f>
        <v>6.4</v>
      </c>
      <c r="H15" s="393">
        <f t="shared" si="6"/>
        <v>12.8</v>
      </c>
      <c r="I15" s="412">
        <f>+[2]Stab!$K$183</f>
        <v>4.8499999999999996</v>
      </c>
      <c r="J15" s="413">
        <f t="shared" si="7"/>
        <v>62.08</v>
      </c>
      <c r="K15" s="405"/>
      <c r="M15" s="406"/>
      <c r="N15" s="414"/>
      <c r="O15" s="408"/>
      <c r="P15" s="414">
        <v>1</v>
      </c>
      <c r="Q15" s="407"/>
      <c r="R15" s="406"/>
      <c r="S15" s="409">
        <f t="shared" ref="S15" si="10">SUM(M15:R15)</f>
        <v>1</v>
      </c>
      <c r="T15" s="415">
        <f t="shared" ref="T15" si="11">S15*J15</f>
        <v>62.08</v>
      </c>
    </row>
    <row r="16" spans="1:20" x14ac:dyDescent="0.15">
      <c r="A16" s="410"/>
      <c r="B16" s="411" t="s">
        <v>722</v>
      </c>
      <c r="C16" s="389"/>
      <c r="D16" s="396"/>
      <c r="E16" s="396"/>
      <c r="F16" s="396"/>
      <c r="G16" s="396"/>
      <c r="I16" s="412"/>
      <c r="J16" s="413"/>
      <c r="K16" s="405"/>
      <c r="M16" s="406"/>
      <c r="N16" s="407"/>
      <c r="O16" s="408"/>
      <c r="P16" s="414"/>
      <c r="Q16" s="407"/>
      <c r="R16" s="406"/>
      <c r="S16" s="409"/>
      <c r="T16" s="415"/>
    </row>
    <row r="17" spans="1:20" x14ac:dyDescent="0.15">
      <c r="A17" s="410"/>
      <c r="B17" s="390" t="s">
        <v>580</v>
      </c>
      <c r="C17" s="389" t="s">
        <v>304</v>
      </c>
      <c r="D17" s="396">
        <v>3</v>
      </c>
      <c r="E17" s="396">
        <v>0.14000000000000001</v>
      </c>
      <c r="F17" s="396">
        <v>0.3</v>
      </c>
      <c r="G17" s="396">
        <v>4</v>
      </c>
      <c r="H17" s="393">
        <f t="shared" ref="H17" si="12">SUM(D17*E17*F17*G17)</f>
        <v>0.5</v>
      </c>
      <c r="I17" s="412">
        <f>+[2]Stab!$K$175</f>
        <v>695</v>
      </c>
      <c r="J17" s="413">
        <f t="shared" ref="J17:J19" si="13">I17*H17</f>
        <v>347.5</v>
      </c>
      <c r="K17" s="405"/>
      <c r="M17" s="416"/>
      <c r="N17" s="414"/>
      <c r="O17" s="408"/>
      <c r="P17" s="414">
        <v>1</v>
      </c>
      <c r="Q17" s="407"/>
      <c r="R17" s="406"/>
      <c r="S17" s="409">
        <f t="shared" ref="S17:S18" si="14">SUM(M17:R17)</f>
        <v>1</v>
      </c>
      <c r="T17" s="415">
        <f t="shared" ref="T17:T18" si="15">S17*J17</f>
        <v>347.5</v>
      </c>
    </row>
    <row r="18" spans="1:20" x14ac:dyDescent="0.15">
      <c r="A18" s="410"/>
      <c r="B18" s="390" t="s">
        <v>581</v>
      </c>
      <c r="C18" s="389" t="s">
        <v>297</v>
      </c>
      <c r="D18" s="396">
        <v>3</v>
      </c>
      <c r="E18" s="396">
        <v>0.14000000000000001</v>
      </c>
      <c r="F18" s="396">
        <v>0.3</v>
      </c>
      <c r="G18" s="396">
        <v>4</v>
      </c>
      <c r="H18" s="393">
        <f>+D18*G18*(2*E18+2*F18)</f>
        <v>10.56</v>
      </c>
      <c r="I18" s="412">
        <f>+[2]Stab!$K$179</f>
        <v>115.17</v>
      </c>
      <c r="J18" s="413">
        <f t="shared" si="13"/>
        <v>1216.2</v>
      </c>
      <c r="K18" s="405"/>
      <c r="M18" s="406"/>
      <c r="N18" s="414"/>
      <c r="O18" s="408"/>
      <c r="P18" s="414"/>
      <c r="Q18" s="407">
        <v>1</v>
      </c>
      <c r="R18" s="406"/>
      <c r="S18" s="409">
        <f t="shared" si="14"/>
        <v>1</v>
      </c>
      <c r="T18" s="415">
        <f t="shared" si="15"/>
        <v>1216.2</v>
      </c>
    </row>
    <row r="19" spans="1:20" x14ac:dyDescent="0.15">
      <c r="A19" s="410"/>
      <c r="B19" s="390" t="s">
        <v>582</v>
      </c>
      <c r="C19" s="389" t="s">
        <v>305</v>
      </c>
      <c r="D19" s="396">
        <v>3</v>
      </c>
      <c r="E19" s="396">
        <v>1</v>
      </c>
      <c r="F19" s="396">
        <v>1</v>
      </c>
      <c r="G19" s="396">
        <f>109.5/3</f>
        <v>36.5</v>
      </c>
      <c r="H19" s="393">
        <f t="shared" ref="H19" si="16">SUM(D19*E19*F19*G19)</f>
        <v>109.5</v>
      </c>
      <c r="I19" s="412">
        <f>+[2]Stab!$K$183</f>
        <v>4.8499999999999996</v>
      </c>
      <c r="J19" s="413">
        <f t="shared" si="13"/>
        <v>531.08000000000004</v>
      </c>
      <c r="K19" s="405"/>
      <c r="M19" s="406"/>
      <c r="N19" s="414"/>
      <c r="O19" s="408"/>
      <c r="P19" s="414">
        <v>1</v>
      </c>
      <c r="Q19" s="407"/>
      <c r="R19" s="406"/>
      <c r="S19" s="409">
        <f t="shared" ref="S19" si="17">SUM(M19:R19)</f>
        <v>1</v>
      </c>
      <c r="T19" s="415">
        <f t="shared" ref="T19" si="18">S19*J19</f>
        <v>531.08000000000004</v>
      </c>
    </row>
    <row r="20" spans="1:20" ht="6.75" customHeight="1" x14ac:dyDescent="0.15">
      <c r="A20" s="410"/>
      <c r="K20" s="405"/>
      <c r="M20" s="406"/>
      <c r="N20" s="414"/>
      <c r="O20" s="408"/>
      <c r="P20" s="414"/>
      <c r="Q20" s="407"/>
      <c r="R20" s="406"/>
      <c r="S20" s="409"/>
      <c r="T20" s="415"/>
    </row>
    <row r="21" spans="1:20" ht="6.75" customHeight="1" x14ac:dyDescent="0.15">
      <c r="K21" s="405"/>
      <c r="M21" s="406"/>
      <c r="N21" s="407"/>
      <c r="O21" s="408"/>
      <c r="P21" s="414"/>
      <c r="Q21" s="407"/>
      <c r="R21" s="406"/>
      <c r="S21" s="409"/>
      <c r="T21" s="189"/>
    </row>
    <row r="22" spans="1:20" x14ac:dyDescent="0.15">
      <c r="A22" s="397" t="s">
        <v>575</v>
      </c>
      <c r="B22" s="398" t="s">
        <v>723</v>
      </c>
      <c r="C22" s="398"/>
      <c r="D22" s="399"/>
      <c r="E22" s="399"/>
      <c r="F22" s="399"/>
      <c r="G22" s="399"/>
      <c r="H22" s="400"/>
      <c r="I22" s="401"/>
      <c r="J22" s="398"/>
      <c r="K22" s="402">
        <f>SUM(J23:J28)</f>
        <v>1130</v>
      </c>
      <c r="M22" s="416"/>
      <c r="N22" s="407"/>
      <c r="O22" s="407"/>
      <c r="P22" s="414"/>
      <c r="Q22" s="407"/>
      <c r="R22" s="416"/>
      <c r="S22" s="409"/>
      <c r="T22" s="249"/>
    </row>
    <row r="23" spans="1:20" ht="6.75" customHeight="1" x14ac:dyDescent="0.15">
      <c r="K23" s="405"/>
      <c r="M23" s="406"/>
      <c r="N23" s="407"/>
      <c r="O23" s="408"/>
      <c r="P23" s="414"/>
      <c r="Q23" s="407"/>
      <c r="R23" s="406"/>
      <c r="S23" s="409"/>
      <c r="T23" s="189"/>
    </row>
    <row r="24" spans="1:20" x14ac:dyDescent="0.15">
      <c r="A24" s="410" t="s">
        <v>602</v>
      </c>
      <c r="B24" s="411" t="s">
        <v>724</v>
      </c>
      <c r="C24" s="389" t="s">
        <v>308</v>
      </c>
      <c r="D24" s="396">
        <v>2</v>
      </c>
      <c r="E24" s="396">
        <v>4</v>
      </c>
      <c r="F24" s="396"/>
      <c r="G24" s="396"/>
      <c r="H24" s="393">
        <f>+D24*E24</f>
        <v>8</v>
      </c>
      <c r="I24" s="412">
        <f>+[2]Stab!K95</f>
        <v>75</v>
      </c>
      <c r="J24" s="413">
        <f t="shared" ref="J24" si="19">I24*H24</f>
        <v>600</v>
      </c>
      <c r="K24" s="405"/>
      <c r="M24" s="406"/>
      <c r="N24" s="407"/>
      <c r="O24" s="408"/>
      <c r="P24" s="414">
        <v>1</v>
      </c>
      <c r="Q24" s="407"/>
      <c r="R24" s="406"/>
      <c r="S24" s="409">
        <f t="shared" ref="S24" si="20">SUM(M24:R24)</f>
        <v>1</v>
      </c>
      <c r="T24" s="415">
        <f t="shared" ref="T24" si="21">S24*J24</f>
        <v>600</v>
      </c>
    </row>
    <row r="25" spans="1:20" ht="6.75" customHeight="1" x14ac:dyDescent="0.15">
      <c r="K25" s="405"/>
      <c r="M25" s="406"/>
      <c r="N25" s="414"/>
      <c r="O25" s="408"/>
      <c r="P25" s="414"/>
      <c r="Q25" s="407"/>
      <c r="R25" s="406"/>
      <c r="S25" s="409"/>
      <c r="T25" s="415"/>
    </row>
    <row r="26" spans="1:20" x14ac:dyDescent="0.15">
      <c r="A26" s="410"/>
      <c r="B26" s="411" t="s">
        <v>725</v>
      </c>
      <c r="C26" s="389"/>
      <c r="D26" s="396"/>
      <c r="E26" s="396"/>
      <c r="F26" s="396"/>
      <c r="G26" s="396"/>
      <c r="I26" s="412"/>
      <c r="J26" s="413"/>
      <c r="K26" s="405"/>
      <c r="M26" s="406"/>
      <c r="N26" s="407"/>
      <c r="O26" s="408"/>
      <c r="P26" s="414"/>
      <c r="Q26" s="407"/>
      <c r="R26" s="406"/>
      <c r="S26" s="409"/>
      <c r="T26" s="415"/>
    </row>
    <row r="27" spans="1:20" x14ac:dyDescent="0.15">
      <c r="A27" s="410"/>
      <c r="B27" s="354" t="s">
        <v>726</v>
      </c>
      <c r="C27" s="389" t="s">
        <v>304</v>
      </c>
      <c r="D27" s="396">
        <v>2</v>
      </c>
      <c r="E27" s="396"/>
      <c r="F27" s="396"/>
      <c r="G27" s="396"/>
      <c r="H27" s="393">
        <f t="shared" ref="H27" si="22">+D27</f>
        <v>2</v>
      </c>
      <c r="I27" s="412">
        <v>265</v>
      </c>
      <c r="J27" s="413">
        <f t="shared" ref="J27" si="23">I27*H27</f>
        <v>530</v>
      </c>
      <c r="K27" s="405"/>
      <c r="M27" s="406"/>
      <c r="N27" s="414"/>
      <c r="O27" s="408"/>
      <c r="P27" s="414">
        <v>0.05</v>
      </c>
      <c r="Q27" s="407">
        <v>0.95</v>
      </c>
      <c r="R27" s="406"/>
      <c r="S27" s="409">
        <f t="shared" ref="S27" si="24">SUM(M27:R27)</f>
        <v>1</v>
      </c>
      <c r="T27" s="415">
        <f t="shared" ref="T27" si="25">S27*J27</f>
        <v>530</v>
      </c>
    </row>
    <row r="28" spans="1:20" ht="6.75" customHeight="1" x14ac:dyDescent="0.15">
      <c r="K28" s="405"/>
      <c r="M28" s="406"/>
      <c r="N28" s="407"/>
      <c r="O28" s="408"/>
      <c r="P28" s="406"/>
      <c r="Q28" s="406"/>
      <c r="R28" s="406"/>
      <c r="S28" s="409"/>
      <c r="T28" s="189"/>
    </row>
    <row r="29" spans="1:20" x14ac:dyDescent="0.15">
      <c r="A29" s="397" t="s">
        <v>576</v>
      </c>
      <c r="B29" s="398" t="s">
        <v>727</v>
      </c>
      <c r="C29" s="398"/>
      <c r="D29" s="399"/>
      <c r="E29" s="399"/>
      <c r="F29" s="399"/>
      <c r="G29" s="399"/>
      <c r="H29" s="400"/>
      <c r="I29" s="401"/>
      <c r="J29" s="398"/>
      <c r="K29" s="402">
        <f>SUM(J30:J31)</f>
        <v>0</v>
      </c>
      <c r="M29" s="416"/>
      <c r="N29" s="407"/>
      <c r="O29" s="407"/>
      <c r="P29" s="414"/>
      <c r="Q29" s="416"/>
      <c r="R29" s="416"/>
      <c r="S29" s="409"/>
      <c r="T29" s="249"/>
    </row>
    <row r="30" spans="1:20" ht="6.75" customHeight="1" x14ac:dyDescent="0.15">
      <c r="K30" s="405"/>
      <c r="M30" s="406"/>
      <c r="N30" s="407"/>
      <c r="O30" s="408"/>
      <c r="P30" s="406"/>
      <c r="Q30" s="406"/>
      <c r="R30" s="406"/>
      <c r="S30" s="409"/>
      <c r="T30" s="189"/>
    </row>
    <row r="31" spans="1:20" x14ac:dyDescent="0.15">
      <c r="A31" s="410"/>
      <c r="B31" s="411" t="s">
        <v>728</v>
      </c>
      <c r="C31" s="389" t="s">
        <v>304</v>
      </c>
      <c r="D31" s="396">
        <v>1</v>
      </c>
      <c r="E31" s="396"/>
      <c r="F31" s="396"/>
      <c r="G31" s="396"/>
      <c r="H31" s="393">
        <f t="shared" ref="H31" si="26">+D31</f>
        <v>1</v>
      </c>
      <c r="I31" s="412">
        <v>1590</v>
      </c>
      <c r="J31" s="413" t="s">
        <v>729</v>
      </c>
      <c r="K31" s="405"/>
      <c r="M31" s="406"/>
      <c r="N31" s="414"/>
      <c r="O31" s="408"/>
      <c r="P31" s="406"/>
      <c r="Q31" s="406"/>
      <c r="R31" s="406"/>
      <c r="S31" s="409"/>
      <c r="T31" s="189"/>
    </row>
    <row r="32" spans="1:20" s="396" customFormat="1" x14ac:dyDescent="0.15">
      <c r="A32" s="410"/>
      <c r="B32" s="390"/>
      <c r="C32" s="389"/>
      <c r="H32" s="393"/>
      <c r="I32" s="412"/>
      <c r="J32" s="413"/>
      <c r="K32" s="405"/>
      <c r="L32" s="390"/>
      <c r="M32" s="428"/>
      <c r="N32" s="429"/>
      <c r="O32" s="430"/>
      <c r="P32" s="428"/>
      <c r="Q32" s="428"/>
      <c r="R32" s="428"/>
      <c r="S32" s="431"/>
      <c r="T32" s="432"/>
    </row>
    <row r="33" spans="1:21" s="396" customFormat="1" ht="6.75" customHeight="1" x14ac:dyDescent="0.15">
      <c r="A33" s="389"/>
      <c r="B33" s="390"/>
      <c r="C33" s="391"/>
      <c r="H33" s="393"/>
      <c r="I33" s="394"/>
      <c r="J33" s="391"/>
      <c r="K33" s="405"/>
      <c r="L33" s="390"/>
      <c r="M33" s="362"/>
      <c r="N33" s="354"/>
      <c r="O33" s="363"/>
      <c r="P33" s="354"/>
      <c r="Q33" s="362"/>
      <c r="R33" s="362"/>
      <c r="S33" s="362"/>
      <c r="T33" s="362"/>
    </row>
    <row r="34" spans="1:21" s="396" customFormat="1" x14ac:dyDescent="0.15">
      <c r="A34" s="389"/>
      <c r="B34" s="423"/>
      <c r="C34" s="424"/>
      <c r="H34" s="425"/>
      <c r="I34" s="412"/>
      <c r="J34" s="413"/>
      <c r="K34" s="395"/>
      <c r="L34" s="390"/>
      <c r="M34" s="362"/>
      <c r="N34" s="354"/>
      <c r="O34" s="363"/>
      <c r="P34" s="354"/>
      <c r="Q34" s="362"/>
      <c r="R34" s="362"/>
    </row>
    <row r="35" spans="1:21" s="396" customFormat="1" ht="6.75" customHeight="1" thickBot="1" x14ac:dyDescent="0.2">
      <c r="A35" s="389"/>
      <c r="B35" s="390"/>
      <c r="C35" s="391"/>
      <c r="H35" s="393"/>
      <c r="I35" s="394"/>
      <c r="J35" s="391"/>
      <c r="K35" s="405"/>
      <c r="L35" s="390"/>
      <c r="N35" s="390"/>
      <c r="O35" s="390"/>
      <c r="P35" s="500"/>
      <c r="Q35" s="390"/>
      <c r="R35" s="390"/>
      <c r="S35" s="390"/>
    </row>
    <row r="36" spans="1:21" s="396" customFormat="1" ht="16" thickBot="1" x14ac:dyDescent="0.2">
      <c r="A36" s="389"/>
      <c r="B36" s="390"/>
      <c r="C36" s="391"/>
      <c r="D36" s="392"/>
      <c r="E36" s="392"/>
      <c r="F36" s="392"/>
      <c r="G36" s="604" t="s">
        <v>569</v>
      </c>
      <c r="H36" s="605"/>
      <c r="I36" s="606"/>
      <c r="J36" s="426">
        <f>SUM(J5:J34)</f>
        <v>9974.07</v>
      </c>
      <c r="K36" s="484"/>
      <c r="L36" s="390"/>
      <c r="P36" s="502"/>
      <c r="S36" s="368"/>
      <c r="T36" s="427">
        <f>SUM(T1:T33)</f>
        <v>9974.07</v>
      </c>
    </row>
    <row r="37" spans="1:21" ht="16" thickBot="1" x14ac:dyDescent="0.2">
      <c r="G37" s="607" t="s">
        <v>570</v>
      </c>
      <c r="H37" s="608"/>
      <c r="I37" s="609"/>
      <c r="J37" s="426">
        <v>0</v>
      </c>
      <c r="M37" s="390"/>
    </row>
    <row r="38" spans="1:21" ht="16" thickBot="1" x14ac:dyDescent="0.2">
      <c r="G38" s="610" t="s">
        <v>569</v>
      </c>
      <c r="H38" s="611"/>
      <c r="I38" s="612"/>
      <c r="J38" s="426">
        <f>J37+J36</f>
        <v>9974.07</v>
      </c>
      <c r="M38" s="390"/>
    </row>
    <row r="39" spans="1:21" s="389" customFormat="1" ht="6.75" customHeight="1" x14ac:dyDescent="0.15">
      <c r="B39" s="390"/>
      <c r="C39" s="391"/>
      <c r="D39" s="392"/>
      <c r="E39" s="392"/>
      <c r="F39" s="392"/>
      <c r="G39" s="392"/>
      <c r="H39" s="393"/>
      <c r="I39" s="394"/>
      <c r="J39" s="391"/>
      <c r="K39" s="395"/>
      <c r="L39" s="390"/>
      <c r="M39" s="396"/>
      <c r="N39" s="390"/>
      <c r="O39" s="390"/>
      <c r="P39" s="500"/>
      <c r="Q39" s="390"/>
      <c r="R39" s="390"/>
      <c r="S39" s="390"/>
      <c r="T39" s="390"/>
      <c r="U39" s="390"/>
    </row>
    <row r="44" spans="1:21" s="389" customFormat="1" ht="6.75" customHeight="1" x14ac:dyDescent="0.15">
      <c r="B44" s="390"/>
      <c r="C44" s="391"/>
      <c r="D44" s="392"/>
      <c r="E44" s="392"/>
      <c r="F44" s="392"/>
      <c r="G44" s="392"/>
      <c r="H44" s="393"/>
      <c r="I44" s="394"/>
      <c r="J44" s="391"/>
      <c r="K44" s="395"/>
      <c r="L44" s="390"/>
      <c r="M44" s="396"/>
      <c r="N44" s="390"/>
      <c r="O44" s="390"/>
      <c r="P44" s="500"/>
      <c r="Q44" s="390"/>
      <c r="R44" s="390"/>
      <c r="S44" s="390"/>
      <c r="T44" s="390"/>
      <c r="U44" s="390"/>
    </row>
  </sheetData>
  <mergeCells count="3">
    <mergeCell ref="G36:I36"/>
    <mergeCell ref="G37:I37"/>
    <mergeCell ref="G38:I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 - état 30 - Février  06  </vt:lpstr>
      <vt:lpstr>SvE</vt:lpstr>
      <vt:lpstr>Stab</vt:lpstr>
      <vt:lpstr>Toit grange</vt:lpstr>
      <vt:lpstr>Frankie</vt:lpstr>
      <vt:lpstr>Avenant 1</vt:lpstr>
      <vt:lpstr>Avenant 2</vt:lpstr>
      <vt:lpstr>Avenant 3</vt:lpstr>
      <vt:lpstr>Avenant 4</vt:lpstr>
      <vt:lpstr>Avenant 5</vt:lpstr>
      <vt:lpstr>Avenant 6</vt:lpstr>
      <vt:lpstr>' - état 30 - Février  06  '!Impression_des_titres</vt:lpstr>
      <vt:lpstr>' - état 30 - Février  06 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BLAUWE Philippe</dc:creator>
  <cp:lastModifiedBy>Microsoft Office User</cp:lastModifiedBy>
  <cp:lastPrinted>2024-06-04T13:24:26Z</cp:lastPrinted>
  <dcterms:created xsi:type="dcterms:W3CDTF">1999-03-03T07:46:44Z</dcterms:created>
  <dcterms:modified xsi:type="dcterms:W3CDTF">2024-11-06T11:45:24Z</dcterms:modified>
</cp:coreProperties>
</file>